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D:\36. 2026 R3 Gilroy\Model and Excel\"/>
    </mc:Choice>
  </mc:AlternateContent>
  <xr:revisionPtr revIDLastSave="0" documentId="8_{59E7C5F1-672C-4BD7-883F-9C8B16CC8FCF}" xr6:coauthVersionLast="47" xr6:coauthVersionMax="47" xr10:uidLastSave="{00000000-0000-0000-0000-000000000000}"/>
  <bookViews>
    <workbookView xWindow="-108" yWindow="-108" windowWidth="23256" windowHeight="12456" tabRatio="889" firstSheet="3" activeTab="5"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568" i="3" l="1"/>
  <c r="E99" i="4"/>
  <c r="J30" i="4"/>
  <c r="AO639" i="3"/>
  <c r="C639" i="3"/>
  <c r="G604" i="3" l="1"/>
  <c r="G603" i="3"/>
  <c r="G602" i="3"/>
  <c r="Z663" i="3"/>
  <c r="Z662" i="3"/>
  <c r="Z661" i="3"/>
  <c r="Z660" i="3"/>
  <c r="C53" i="4"/>
  <c r="E49" i="4" s="1" a="1"/>
  <c r="A66" i="7"/>
  <c r="G67" i="7"/>
  <c r="I67" i="7" s="1"/>
  <c r="K67" i="7" s="1"/>
  <c r="M67" i="7" s="1"/>
  <c r="O67" i="7" s="1"/>
  <c r="Q67" i="7" s="1"/>
  <c r="S67" i="7" s="1"/>
  <c r="U67" i="7" s="1"/>
  <c r="W67" i="7" s="1"/>
  <c r="Y67" i="7" s="1"/>
  <c r="AA67" i="7" s="1"/>
  <c r="AC67" i="7" s="1"/>
  <c r="AE67" i="7" s="1"/>
  <c r="AG67" i="7" s="1"/>
  <c r="A41" i="7"/>
  <c r="E37" i="4"/>
  <c r="S53" i="4"/>
  <c r="E83" i="4" a="1"/>
  <c r="E79" i="4" a="1"/>
  <c r="E75" i="4"/>
  <c r="E65" i="4"/>
  <c r="E58" i="4"/>
  <c r="E45" i="4" a="1"/>
  <c r="E43" i="4"/>
  <c r="E40" i="4"/>
  <c r="E32" i="4" a="1"/>
  <c r="E29" i="4"/>
  <c r="E10" i="4"/>
  <c r="E31" i="4"/>
  <c r="E30" i="4"/>
  <c r="C93" i="4"/>
  <c r="E88" i="4" s="1" a="1"/>
  <c r="C69" i="4"/>
  <c r="E69" i="4" s="1"/>
  <c r="C61" i="4"/>
  <c r="E61" i="4" s="1"/>
  <c r="W862" i="3"/>
  <c r="H656" i="3"/>
  <c r="G655" i="3"/>
  <c r="Z655" i="3" s="1"/>
  <c r="G654" i="3"/>
  <c r="Z654" i="3" s="1"/>
  <c r="G653" i="3"/>
  <c r="Z653" i="3" s="1"/>
  <c r="G652" i="3"/>
  <c r="Z652" i="3" s="1"/>
  <c r="AG457" i="3"/>
  <c r="AG451" i="3"/>
  <c r="AG452" i="3" s="1"/>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M31" i="2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F10" i="13" s="1"/>
  <c r="R91" i="4"/>
  <c r="R84" i="4"/>
  <c r="B59" i="4"/>
  <c r="C80" i="11"/>
  <c r="C81" i="11"/>
  <c r="B80" i="11"/>
  <c r="B81" i="11"/>
  <c r="I96" i="13"/>
  <c r="J96" i="13"/>
  <c r="J81" i="13"/>
  <c r="I81" i="13"/>
  <c r="G81" i="13"/>
  <c r="D81" i="13"/>
  <c r="H80" i="13"/>
  <c r="B80" i="13"/>
  <c r="R80" i="4"/>
  <c r="D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3" i="13"/>
  <c r="E87" i="13"/>
  <c r="E53" i="13"/>
  <c r="E48" i="13"/>
  <c r="E47" i="13"/>
  <c r="E46" i="13"/>
  <c r="E45" i="13"/>
  <c r="E41" i="13"/>
  <c r="E27" i="13"/>
  <c r="E25" i="13"/>
  <c r="E23" i="13"/>
  <c r="E22" i="13"/>
  <c r="E21" i="13"/>
  <c r="E20" i="13"/>
  <c r="E19" i="13"/>
  <c r="E18" i="13"/>
  <c r="E17" i="13"/>
  <c r="E15" i="13"/>
  <c r="E14" i="13"/>
  <c r="E13" i="13"/>
  <c r="B99" i="13"/>
  <c r="C99" i="13" s="1"/>
  <c r="C104" i="13" s="1"/>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C56" i="13" s="1" a="1"/>
  <c r="B53" i="13"/>
  <c r="B52" i="13"/>
  <c r="B51" i="13"/>
  <c r="B50" i="13"/>
  <c r="B49" i="13"/>
  <c r="B48" i="13"/>
  <c r="B47" i="13"/>
  <c r="B46" i="13"/>
  <c r="B45" i="13"/>
  <c r="B43" i="13"/>
  <c r="C43" i="13" s="1"/>
  <c r="C42" i="4"/>
  <c r="B42" i="13" s="1"/>
  <c r="B41" i="13"/>
  <c r="B40" i="13"/>
  <c r="C40" i="13" s="1"/>
  <c r="C42" i="13" s="1"/>
  <c r="B37" i="13"/>
  <c r="B35" i="13"/>
  <c r="B34" i="13"/>
  <c r="B33" i="13"/>
  <c r="B32" i="13"/>
  <c r="B31" i="13"/>
  <c r="B30" i="13"/>
  <c r="B29" i="13"/>
  <c r="B27" i="13"/>
  <c r="B25" i="13"/>
  <c r="B23" i="13"/>
  <c r="B22" i="13"/>
  <c r="B21" i="13"/>
  <c r="B20" i="13"/>
  <c r="B19" i="13"/>
  <c r="B18" i="13"/>
  <c r="B17" i="13"/>
  <c r="B5" i="13"/>
  <c r="B6" i="13"/>
  <c r="B7" i="13"/>
  <c r="C8" i="4"/>
  <c r="B9" i="13"/>
  <c r="B10" i="13"/>
  <c r="C10" i="13" s="1"/>
  <c r="C11" i="13" s="1"/>
  <c r="B13" i="13"/>
  <c r="B14" i="13"/>
  <c r="B15" i="13"/>
  <c r="B4" i="13"/>
  <c r="J104" i="13"/>
  <c r="I104" i="13"/>
  <c r="G104" i="13"/>
  <c r="D104" i="13"/>
  <c r="G96" i="13"/>
  <c r="D96" i="13"/>
  <c r="D77" i="13"/>
  <c r="J70" i="13"/>
  <c r="I70" i="13"/>
  <c r="G70" i="13"/>
  <c r="D70" i="13"/>
  <c r="D62" i="13"/>
  <c r="J54" i="13"/>
  <c r="I54" i="13"/>
  <c r="G54" i="13"/>
  <c r="D54" i="13"/>
  <c r="J42" i="13"/>
  <c r="I42" i="13"/>
  <c r="G42" i="13"/>
  <c r="F26" i="13"/>
  <c r="D42" i="13"/>
  <c r="J38" i="13"/>
  <c r="I38" i="13"/>
  <c r="G38" i="13"/>
  <c r="D38" i="13"/>
  <c r="J26" i="13"/>
  <c r="I26" i="13"/>
  <c r="I11" i="13"/>
  <c r="G26" i="13"/>
  <c r="D26" i="13"/>
  <c r="C26" i="13"/>
  <c r="J11" i="13"/>
  <c r="D11" i="13"/>
  <c r="C8" i="13"/>
  <c r="D8" i="13"/>
  <c r="T104" i="4"/>
  <c r="H104" i="13" s="1"/>
  <c r="R103" i="4"/>
  <c r="R102" i="4"/>
  <c r="R101" i="4"/>
  <c r="R99" i="4"/>
  <c r="S99" i="4" s="1"/>
  <c r="R95" i="4"/>
  <c r="R94" i="4"/>
  <c r="S94" i="4" s="1" a="1"/>
  <c r="R93" i="4"/>
  <c r="R92" i="4"/>
  <c r="R90" i="4"/>
  <c r="R89" i="4"/>
  <c r="R87" i="4"/>
  <c r="R86" i="4"/>
  <c r="R85" i="4"/>
  <c r="R76" i="4"/>
  <c r="R75" i="4"/>
  <c r="R72" i="4"/>
  <c r="R73" i="4"/>
  <c r="R74" i="4"/>
  <c r="R69" i="4"/>
  <c r="R65" i="4"/>
  <c r="R61" i="4"/>
  <c r="R60" i="4"/>
  <c r="R59" i="4"/>
  <c r="R58" i="4"/>
  <c r="R57" i="4"/>
  <c r="R56" i="4"/>
  <c r="R53" i="4"/>
  <c r="R52" i="4"/>
  <c r="R51" i="4"/>
  <c r="R50" i="4"/>
  <c r="R48" i="4"/>
  <c r="R47" i="4"/>
  <c r="R46" i="4"/>
  <c r="R43" i="4"/>
  <c r="S43" i="4" s="1"/>
  <c r="E43" i="13" s="1"/>
  <c r="F43" i="13" s="1"/>
  <c r="R41" i="4"/>
  <c r="R40" i="4"/>
  <c r="S40" i="4" s="1"/>
  <c r="R37" i="4"/>
  <c r="S37" i="4" s="1"/>
  <c r="E37" i="13" s="1"/>
  <c r="R35" i="4"/>
  <c r="R34" i="4"/>
  <c r="R33"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S51" i="4" l="1" a="1"/>
  <c r="C83" i="13" a="1"/>
  <c r="C72" i="13" a="1"/>
  <c r="C45" i="13" a="1"/>
  <c r="C79" i="13" a="1"/>
  <c r="C65" i="13" a="1"/>
  <c r="C29" i="13" a="1"/>
  <c r="S89" i="4" a="1"/>
  <c r="E90" i="13" s="1"/>
  <c r="S84" i="4" a="1"/>
  <c r="E99" i="13"/>
  <c r="F99" i="13" s="1"/>
  <c r="F104" i="13" s="1"/>
  <c r="S104" i="4"/>
  <c r="E95" i="13"/>
  <c r="E67" i="13"/>
  <c r="S70" i="4"/>
  <c r="E70" i="13" s="1"/>
  <c r="E69" i="13"/>
  <c r="E68" i="13"/>
  <c r="E66" i="13"/>
  <c r="E65" i="13"/>
  <c r="E52" i="13"/>
  <c r="E50" i="13"/>
  <c r="S42" i="4"/>
  <c r="E42" i="13" s="1"/>
  <c r="E40" i="13"/>
  <c r="F40" i="13" s="1"/>
  <c r="F42" i="13" s="1"/>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F63" i="4"/>
  <c r="F97" i="4" s="1"/>
  <c r="F105" i="4" s="1"/>
  <c r="I63" i="13"/>
  <c r="I97" i="13" s="1"/>
  <c r="I105" i="13" s="1"/>
  <c r="I107" i="13" s="1"/>
  <c r="C71" i="11"/>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62" i="4"/>
  <c r="D63" i="13"/>
  <c r="D97" i="13" s="1"/>
  <c r="D105" i="13" s="1"/>
  <c r="B97" i="11"/>
  <c r="C55" i="11"/>
  <c r="D23" i="11"/>
  <c r="D19" i="11"/>
  <c r="D14" i="11"/>
  <c r="D7" i="11"/>
  <c r="R8" i="4"/>
  <c r="G63" i="13"/>
  <c r="G97" i="13" s="1"/>
  <c r="G105" i="13" s="1"/>
  <c r="G107" i="13" s="1"/>
  <c r="M53" i="7"/>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E92" i="13" l="1"/>
  <c r="E91" i="13"/>
  <c r="F65" i="13" a="1"/>
  <c r="E86" i="13"/>
  <c r="E85" i="13"/>
  <c r="E104" i="13"/>
  <c r="BA1067" i="3"/>
  <c r="AJ634" i="20"/>
  <c r="AK819" i="20" s="1"/>
  <c r="T891" i="20" s="1"/>
  <c r="AF891" i="20" s="1"/>
  <c r="BE82" i="3" s="1"/>
  <c r="G108" i="21"/>
  <c r="D105" i="11"/>
  <c r="N190" i="24"/>
  <c r="D43" i="11"/>
  <c r="D71" i="11"/>
  <c r="B12" i="4"/>
  <c r="D55" i="11"/>
  <c r="D82" i="11"/>
  <c r="D39" i="11"/>
  <c r="D78" i="11"/>
  <c r="R12" i="4"/>
  <c r="D12" i="11"/>
  <c r="D63" i="11"/>
  <c r="B13" i="11"/>
  <c r="C64" i="11"/>
  <c r="C98" i="11" s="1"/>
  <c r="B64" i="11"/>
  <c r="B98" i="11" s="1"/>
  <c r="B106" i="11" s="1"/>
  <c r="B63" i="4"/>
  <c r="D27" i="11"/>
  <c r="D97" i="11"/>
  <c r="T97" i="4"/>
  <c r="H63" i="13"/>
  <c r="BE71" i="3"/>
  <c r="D9" i="11"/>
  <c r="C13" i="11"/>
  <c r="O53" i="7"/>
  <c r="M58" i="7"/>
  <c r="BA1048" i="3"/>
  <c r="BA1057" i="3" s="1" a="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T889" i="20" l="1"/>
  <c r="AF889" i="20" s="1"/>
  <c r="BE80" i="3" s="1"/>
  <c r="G155" i="21"/>
  <c r="I16" i="21" s="1"/>
  <c r="D64" i="11"/>
  <c r="B105" i="4"/>
  <c r="AC463" i="3" s="1"/>
  <c r="BE44" i="3" s="1"/>
  <c r="BE101" i="3"/>
  <c r="D13" i="11"/>
  <c r="B97" i="13"/>
  <c r="B97" i="4"/>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AK190" i="20"/>
  <c r="T877" i="20"/>
  <c r="AF877" i="20" s="1"/>
  <c r="AB47" i="15"/>
  <c r="AB49" i="15" s="1"/>
  <c r="BE22" i="3"/>
  <c r="H105" i="13"/>
  <c r="T107" i="4"/>
  <c r="H107" i="13" s="1"/>
  <c r="Q58" i="7"/>
  <c r="S53" i="7"/>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B54" i="15" l="1"/>
  <c r="AB55" i="15" s="1"/>
  <c r="BE62" i="3"/>
  <c r="AJ1025" i="3"/>
  <c r="AJ1045" i="3"/>
  <c r="I15" i="21" s="1"/>
  <c r="AD11" i="15"/>
  <c r="AD23" i="15" s="1"/>
  <c r="AD26" i="15" s="1"/>
  <c r="AD28" i="15" s="1"/>
  <c r="AI11" i="15"/>
  <c r="AI23" i="15" s="1"/>
  <c r="AI26" i="15" s="1"/>
  <c r="AI28" i="15" s="1"/>
  <c r="E138" i="20"/>
  <c r="AK142" i="20" s="1"/>
  <c r="T879" i="20" s="1"/>
  <c r="AF879" i="20" s="1"/>
  <c r="BE72" i="3"/>
  <c r="T883" i="20"/>
  <c r="AF883" i="20" s="1"/>
  <c r="BE76" i="3" s="1"/>
  <c r="S58" i="7"/>
  <c r="U53" i="7"/>
  <c r="AJ1054" i="3"/>
  <c r="AJ1058" i="3"/>
  <c r="AP563" i="20"/>
  <c r="K4" i="7"/>
  <c r="M4" i="7" s="1"/>
  <c r="E45" i="7"/>
  <c r="E48" i="7" s="1"/>
  <c r="G45" i="7"/>
  <c r="G49" i="7"/>
  <c r="K6" i="7"/>
  <c r="I7" i="7"/>
  <c r="I11" i="7" s="1"/>
  <c r="I37" i="7" s="1"/>
  <c r="G26" i="21"/>
  <c r="F29" i="21"/>
  <c r="G29" i="21"/>
  <c r="O22" i="7"/>
  <c r="O35" i="7" s="1"/>
  <c r="Q15" i="7"/>
  <c r="O9" i="7"/>
  <c r="Q8" i="7"/>
  <c r="BE74" i="3" l="1"/>
  <c r="AP566" i="20"/>
  <c r="U58" i="7"/>
  <c r="W53" i="7"/>
  <c r="AJ1062" i="3"/>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AP567" i="20" l="1"/>
  <c r="G94" i="21"/>
  <c r="E15" i="21" s="1"/>
  <c r="W58" i="7"/>
  <c r="Y53" i="7"/>
  <c r="T24" i="15"/>
  <c r="AP570" i="20"/>
  <c r="AP569" i="20" s="1"/>
  <c r="K11" i="7"/>
  <c r="K37" i="7" s="1"/>
  <c r="K45" i="7" s="1"/>
  <c r="E66" i="7"/>
  <c r="O5" i="7"/>
  <c r="Q4" i="7"/>
  <c r="M7" i="7"/>
  <c r="M11" i="7" s="1"/>
  <c r="M37" i="7" s="1"/>
  <c r="O6" i="7"/>
  <c r="G62" i="7"/>
  <c r="G66" i="7"/>
  <c r="I48" i="7"/>
  <c r="I60" i="7"/>
  <c r="I47" i="7"/>
  <c r="G115" i="21"/>
  <c r="G127" i="21"/>
  <c r="G111" i="21"/>
  <c r="S22" i="7"/>
  <c r="S35" i="7" s="1"/>
  <c r="U15" i="7"/>
  <c r="U8" i="7"/>
  <c r="S9" i="7"/>
  <c r="AP572" i="20" l="1"/>
  <c r="AF565" i="20" s="1"/>
  <c r="AA53" i="7"/>
  <c r="Y58" i="7"/>
  <c r="G129" i="21"/>
  <c r="E17" i="21" s="1"/>
  <c r="K49" i="7"/>
  <c r="E70" i="7"/>
  <c r="E72" i="7" s="1"/>
  <c r="S4" i="7"/>
  <c r="Q5" i="7"/>
  <c r="G70" i="7"/>
  <c r="G72" i="7" s="1"/>
  <c r="O7" i="7"/>
  <c r="O11" i="7" s="1"/>
  <c r="O37" i="7" s="1"/>
  <c r="Q6" i="7"/>
  <c r="M45" i="7"/>
  <c r="M49" i="7"/>
  <c r="I66" i="7"/>
  <c r="I62" i="7"/>
  <c r="K47" i="7"/>
  <c r="K60" i="7"/>
  <c r="K48" i="7"/>
  <c r="U22" i="7"/>
  <c r="U35" i="7" s="1"/>
  <c r="W15" i="7"/>
  <c r="U9" i="7"/>
  <c r="W8" i="7"/>
  <c r="E14" i="21" l="1"/>
  <c r="AC53" i="7"/>
  <c r="AA58" i="7"/>
  <c r="U4" i="7"/>
  <c r="S5" i="7"/>
  <c r="M48" i="7"/>
  <c r="M47" i="7"/>
  <c r="M60" i="7"/>
  <c r="O45" i="7"/>
  <c r="O49" i="7"/>
  <c r="K66" i="7"/>
  <c r="K62" i="7"/>
  <c r="Q7" i="7"/>
  <c r="Q11" i="7" s="1"/>
  <c r="Q37" i="7" s="1"/>
  <c r="S6" i="7"/>
  <c r="I70" i="7"/>
  <c r="I72" i="7" s="1"/>
  <c r="W22" i="7"/>
  <c r="W35" i="7" s="1"/>
  <c r="Y15" i="7"/>
  <c r="W9" i="7"/>
  <c r="Y8" i="7"/>
  <c r="AE53" i="7" l="1"/>
  <c r="AC58" i="7"/>
  <c r="U5" i="7"/>
  <c r="W4" i="7"/>
  <c r="Q49" i="7"/>
  <c r="Q45" i="7"/>
  <c r="M62" i="7"/>
  <c r="M66" i="7"/>
  <c r="O47" i="7"/>
  <c r="O48" i="7"/>
  <c r="O60" i="7"/>
  <c r="K70" i="7"/>
  <c r="K72" i="7" s="1"/>
  <c r="S7" i="7"/>
  <c r="S11" i="7" s="1"/>
  <c r="S37" i="7" s="1"/>
  <c r="U6" i="7"/>
  <c r="Y22" i="7"/>
  <c r="Y35" i="7" s="1"/>
  <c r="AA15" i="7"/>
  <c r="Y9" i="7"/>
  <c r="AA8" i="7"/>
  <c r="AG53" i="7" l="1"/>
  <c r="AG58" i="7" s="1"/>
  <c r="AE58" i="7"/>
  <c r="M70" i="7"/>
  <c r="M72" i="7" s="1"/>
  <c r="W5" i="7"/>
  <c r="Y4" i="7"/>
  <c r="U7" i="7"/>
  <c r="U11" i="7" s="1"/>
  <c r="U37" i="7" s="1"/>
  <c r="W6" i="7"/>
  <c r="O66" i="7"/>
  <c r="O62" i="7"/>
  <c r="Q60" i="7"/>
  <c r="Q48" i="7"/>
  <c r="Q47" i="7"/>
  <c r="S49" i="7"/>
  <c r="S45" i="7"/>
  <c r="AC15" i="7"/>
  <c r="AA22" i="7"/>
  <c r="AA35" i="7" s="1"/>
  <c r="AC8" i="7"/>
  <c r="AA9" i="7"/>
  <c r="AA4" i="7" l="1"/>
  <c r="Y5" i="7"/>
  <c r="Y6" i="7"/>
  <c r="W7" i="7"/>
  <c r="W11" i="7" s="1"/>
  <c r="W37" i="7" s="1"/>
  <c r="U45" i="7"/>
  <c r="U49" i="7"/>
  <c r="Q66" i="7"/>
  <c r="Q62" i="7"/>
  <c r="S48" i="7"/>
  <c r="S47" i="7"/>
  <c r="S60" i="7"/>
  <c r="O70" i="7"/>
  <c r="O72" i="7" s="1"/>
  <c r="AE15" i="7"/>
  <c r="AC22" i="7"/>
  <c r="AC35" i="7" s="1"/>
  <c r="AC9" i="7"/>
  <c r="AE8" i="7"/>
  <c r="AA5" i="7" l="1"/>
  <c r="AC4" i="7"/>
  <c r="S66" i="7"/>
  <c r="S62" i="7"/>
  <c r="U48" i="7"/>
  <c r="U60" i="7"/>
  <c r="U47" i="7"/>
  <c r="Q70" i="7"/>
  <c r="Q72" i="7" s="1"/>
  <c r="W49" i="7"/>
  <c r="W45" i="7"/>
  <c r="Y7" i="7"/>
  <c r="Y11" i="7" s="1"/>
  <c r="Y37" i="7" s="1"/>
  <c r="AA6" i="7"/>
  <c r="AE22" i="7"/>
  <c r="AE35" i="7" s="1"/>
  <c r="AG15" i="7"/>
  <c r="AG22" i="7" s="1"/>
  <c r="AG35" i="7" s="1"/>
  <c r="AE9" i="7"/>
  <c r="AG8" i="7"/>
  <c r="AG9" i="7" s="1"/>
  <c r="S70" i="7" l="1"/>
  <c r="S72" i="7" s="1"/>
  <c r="AC5" i="7"/>
  <c r="AE4" i="7"/>
  <c r="AC6" i="7"/>
  <c r="AA7" i="7"/>
  <c r="AA11" i="7" s="1"/>
  <c r="AA37" i="7" s="1"/>
  <c r="U66" i="7"/>
  <c r="U62" i="7"/>
  <c r="Y49" i="7"/>
  <c r="Y45" i="7"/>
  <c r="W60" i="7"/>
  <c r="W47" i="7"/>
  <c r="W48" i="7"/>
  <c r="AE5" i="7" l="1"/>
  <c r="AG4" i="7"/>
  <c r="AA45" i="7"/>
  <c r="AA49" i="7"/>
  <c r="U70" i="7"/>
  <c r="U72" i="7" s="1"/>
  <c r="W62" i="7"/>
  <c r="W66" i="7"/>
  <c r="Y47" i="7"/>
  <c r="Y48" i="7"/>
  <c r="Y60" i="7"/>
  <c r="AE6" i="7"/>
  <c r="AC7" i="7"/>
  <c r="AC11" i="7" s="1"/>
  <c r="AC37" i="7" s="1"/>
  <c r="AG5" i="7" l="1"/>
  <c r="W70" i="7"/>
  <c r="W72" i="7" s="1"/>
  <c r="AA60" i="7"/>
  <c r="AA47" i="7"/>
  <c r="AA48" i="7"/>
  <c r="AC45" i="7"/>
  <c r="AC49" i="7"/>
  <c r="AE7" i="7"/>
  <c r="AE11" i="7" s="1"/>
  <c r="AE37" i="7" s="1"/>
  <c r="AG6" i="7"/>
  <c r="Y62" i="7"/>
  <c r="Y66" i="7"/>
  <c r="Y70" i="7" l="1"/>
  <c r="Y72" i="7" s="1"/>
  <c r="AG7" i="7"/>
  <c r="AG11" i="7" s="1"/>
  <c r="AG37" i="7" s="1"/>
  <c r="AE49" i="7"/>
  <c r="AE45" i="7"/>
  <c r="AC60" i="7"/>
  <c r="AC48" i="7"/>
  <c r="AC47" i="7"/>
  <c r="AA66" i="7"/>
  <c r="AA62" i="7"/>
  <c r="AA70" i="7" l="1"/>
  <c r="AA72" i="7" s="1"/>
  <c r="AC66" i="7"/>
  <c r="AC62" i="7"/>
  <c r="AE47" i="7"/>
  <c r="AE60" i="7"/>
  <c r="AE48" i="7"/>
  <c r="AG49" i="7"/>
  <c r="AG45" i="7"/>
  <c r="AG48" i="7" l="1"/>
  <c r="AG60" i="7"/>
  <c r="AG47" i="7"/>
  <c r="AE62" i="7"/>
  <c r="AE66" i="7"/>
  <c r="AC70" i="7"/>
  <c r="AC72" i="7" s="1"/>
  <c r="AE70" i="7" l="1"/>
  <c r="AE72" i="7" s="1"/>
  <c r="AG62" i="7"/>
  <c r="AG66" i="7"/>
  <c r="AG70" i="7" l="1"/>
  <c r="AG72" i="7" s="1"/>
  <c r="BH761" i="3"/>
  <c r="AC761" i="3" s="1"/>
  <c r="BE42" i="3" l="1"/>
  <c r="E92" i="20"/>
  <c r="E93" i="20" s="1"/>
  <c r="E102" i="20"/>
  <c r="E105" i="20" s="1"/>
  <c r="AP105" i="20" s="1"/>
  <c r="AK108" i="20" s="1"/>
  <c r="T878" i="20" s="1"/>
  <c r="AF878" i="20" s="1"/>
  <c r="BE73" i="3" l="1"/>
  <c r="E94" i="20"/>
  <c r="AM574" i="3" l="1"/>
  <c r="G43" i="21" s="1"/>
  <c r="C96" i="13" s="1"/>
  <c r="E94" i="13" s="1"/>
  <c r="E89" i="13" s="1"/>
  <c r="F89" i="13" s="1" a="1"/>
  <c r="R88" i="4" s="1"/>
  <c r="E51" i="13" s="1"/>
  <c r="J19" i="24" l="1"/>
  <c r="P29" i="24"/>
  <c r="R32" i="4"/>
  <c r="E38" i="4"/>
  <c r="E63" i="4" s="1"/>
  <c r="E54" i="4"/>
  <c r="R45" i="4"/>
  <c r="V29" i="24"/>
  <c r="J24" i="24"/>
  <c r="E84" i="13"/>
  <c r="F84" i="13" s="1" a="1"/>
  <c r="F96" i="13" s="1"/>
  <c r="S96" i="4"/>
  <c r="E96" i="13" s="1"/>
  <c r="AB29" i="24"/>
  <c r="R83" i="4"/>
  <c r="R96" i="4" s="1"/>
  <c r="E96" i="4"/>
  <c r="J21" i="24"/>
  <c r="J22" i="24"/>
  <c r="O23" i="21"/>
  <c r="P23" i="21" s="1" a="1"/>
  <c r="O27" i="21"/>
  <c r="P27" i="21" s="1" a="1"/>
  <c r="O31" i="21"/>
  <c r="P31" i="21" s="1" a="1"/>
  <c r="O26" i="21"/>
  <c r="P26" i="21" s="1" a="1"/>
  <c r="O29" i="21"/>
  <c r="P29" i="21" s="1" a="1"/>
  <c r="O22" i="21"/>
  <c r="P22" i="21" s="1" a="1"/>
  <c r="O30" i="21"/>
  <c r="P30" i="21" s="1" a="1"/>
  <c r="O25" i="21"/>
  <c r="P25" i="21" s="1" a="1"/>
  <c r="O28" i="21"/>
  <c r="P28" i="21" s="1" a="1"/>
  <c r="O20" i="21"/>
  <c r="P20" i="21" s="1" a="1"/>
  <c r="O24" i="21"/>
  <c r="P24" i="21" s="1" a="1"/>
  <c r="S24" i="21" s="1"/>
  <c r="O21" i="21"/>
  <c r="P21" i="21" s="1" a="1"/>
  <c r="R79" i="4"/>
  <c r="E81" i="4"/>
  <c r="AN29" i="24"/>
  <c r="J23" i="24"/>
  <c r="R49" i="4"/>
  <c r="S49" i="4" s="1"/>
  <c r="AH29" i="24"/>
  <c r="C81" i="13"/>
  <c r="C77" i="13" s="1"/>
  <c r="F70" i="13" s="1"/>
  <c r="C70" i="13" s="1"/>
  <c r="C62" i="13" s="1"/>
  <c r="C54" i="13" s="1"/>
  <c r="C38" i="13" s="1"/>
  <c r="C63" i="13" s="1"/>
  <c r="C97" i="13" s="1"/>
  <c r="C105" i="13" s="1"/>
  <c r="S30" i="21" l="1"/>
  <c r="S22" i="21"/>
  <c r="R54" i="4"/>
  <c r="S79" i="4" a="1"/>
  <c r="E80" i="13" s="1"/>
  <c r="R81" i="4"/>
  <c r="S29" i="21"/>
  <c r="S21" i="21"/>
  <c r="E97" i="4"/>
  <c r="E105" i="4" s="1"/>
  <c r="J20" i="24"/>
  <c r="J29" i="24" s="1"/>
  <c r="AT20" i="24" s="1"/>
  <c r="S31" i="21"/>
  <c r="S26" i="21" s="1"/>
  <c r="S29" i="4" a="1"/>
  <c r="R38" i="4"/>
  <c r="E49" i="13"/>
  <c r="F45" i="13" s="1" a="1"/>
  <c r="S54" i="4"/>
  <c r="E54" i="13" s="1"/>
  <c r="S20" i="21" s="1"/>
  <c r="S27" i="21"/>
  <c r="S25" i="21" s="1"/>
  <c r="S28" i="21" s="1"/>
  <c r="F54" i="13" s="1"/>
  <c r="E30" i="13"/>
  <c r="E32" i="13"/>
  <c r="E35" i="13"/>
  <c r="E34" i="13"/>
  <c r="R63" i="4" l="1"/>
  <c r="R97" i="4" s="1"/>
  <c r="R105" i="4" s="1"/>
  <c r="E33" i="13"/>
  <c r="E31" i="13"/>
  <c r="AT23" i="24"/>
  <c r="N191" i="24"/>
  <c r="AY40" i="24"/>
  <c r="AY46" i="24"/>
  <c r="AY41" i="24"/>
  <c r="AT29" i="24"/>
  <c r="AY42" i="24"/>
  <c r="AY45" i="24"/>
  <c r="AT25" i="24"/>
  <c r="AY39" i="24"/>
  <c r="N181" i="24"/>
  <c r="AT27" i="24"/>
  <c r="AY37" i="24"/>
  <c r="AT28" i="24"/>
  <c r="AY44" i="24"/>
  <c r="AT26" i="24"/>
  <c r="AY43" i="24"/>
  <c r="AY36" i="24"/>
  <c r="AY47" i="24"/>
  <c r="AY38" i="24"/>
  <c r="BB5" i="24" a="1"/>
  <c r="BB5" i="24" s="1"/>
  <c r="AT24" i="24"/>
  <c r="AT21" i="24"/>
  <c r="AT22" i="24"/>
  <c r="AT19" i="24"/>
  <c r="S23" i="21" s="1"/>
  <c r="G45" i="21" s="1"/>
  <c r="G47" i="21" s="1"/>
  <c r="E10" i="21" s="1"/>
  <c r="E18" i="21" s="1"/>
  <c r="H3" i="21" s="1"/>
  <c r="BB6" i="24" a="1"/>
  <c r="BB6" i="24" s="1"/>
  <c r="BB4" i="24" a="1"/>
  <c r="BB4" i="24" s="1"/>
  <c r="S81" i="4"/>
  <c r="E81" i="13" s="1"/>
  <c r="E79" i="13"/>
  <c r="F79" i="13" s="1" a="1"/>
  <c r="F81" i="13" s="1"/>
  <c r="E29" i="13"/>
  <c r="S38" i="4"/>
  <c r="F29" i="13" l="1" a="1"/>
  <c r="E38" i="13"/>
  <c r="S63" i="4"/>
  <c r="F38" i="13" s="1"/>
  <c r="F63" i="13" s="1"/>
  <c r="F97" i="13" s="1"/>
  <c r="F105" i="13" s="1"/>
  <c r="F107" i="13" s="1"/>
  <c r="T11" i="15" s="1"/>
  <c r="T23" i="15" s="1"/>
  <c r="T26" i="15" l="1"/>
  <c r="T28" i="15" s="1"/>
  <c r="S97" i="4"/>
  <c r="E63" i="13"/>
  <c r="S105" i="4" l="1"/>
  <c r="E97" i="13"/>
  <c r="AZ1055" i="3"/>
  <c r="BA1065" i="3" l="1"/>
  <c r="AZ1060" i="3"/>
  <c r="BA1064" i="3" s="1"/>
  <c r="BA1068" i="3" s="1"/>
  <c r="E105" i="13"/>
  <c r="I9" i="21"/>
  <c r="S107" i="4"/>
  <c r="G165" i="21" l="1"/>
  <c r="G166" i="21"/>
  <c r="AC465" i="3"/>
  <c r="AA1065" i="3"/>
  <c r="AA1066" i="3" s="1"/>
  <c r="G1067" i="3" s="1"/>
  <c r="E107" i="13"/>
  <c r="Y11" i="15" s="1"/>
  <c r="Y23" i="15" s="1"/>
  <c r="AF564" i="20"/>
  <c r="AF566" i="20" s="1"/>
  <c r="AK572" i="20" s="1"/>
  <c r="T890" i="20" s="1"/>
  <c r="AF890" i="20" s="1"/>
  <c r="BE81" i="3" l="1"/>
  <c r="AF893" i="20"/>
  <c r="BE70" i="3" s="1"/>
  <c r="Y26" i="15"/>
  <c r="Y28" i="15" s="1"/>
  <c r="AD38" i="15"/>
  <c r="AD40" i="15" s="1"/>
  <c r="Y64" i="15" l="1"/>
  <c r="Y68" i="15" s="1"/>
  <c r="Y69" i="15" s="1"/>
  <c r="T29" i="15"/>
  <c r="Y38" i="15"/>
  <c r="Y40" i="15" s="1"/>
  <c r="Y41" i="15" s="1"/>
  <c r="AB56" i="15" s="1"/>
  <c r="AB57" i="15" l="1"/>
  <c r="AB59" i="15" s="1"/>
  <c r="AB77" i="15" s="1"/>
  <c r="AB78" i="15" s="1"/>
  <c r="M26" i="3"/>
  <c r="BE19" i="3" l="1"/>
  <c r="P204" i="3"/>
  <c r="AB79" i="15"/>
  <c r="AB81" i="15" s="1"/>
  <c r="J82" i="15" s="1"/>
  <c r="I10" i="21"/>
  <c r="I11" i="21" s="1"/>
  <c r="I18" i="21" s="1"/>
  <c r="H4" i="21" s="1"/>
  <c r="H5" i="21" s="1"/>
  <c r="BE83" i="3" s="1"/>
  <c r="M27" i="3"/>
  <c r="BE20" i="3" l="1"/>
  <c r="P20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E54C9BA6-5B59-459F-B494-F4F0B641E100}">
      <text>
        <r>
          <rPr>
            <sz val="9"/>
            <color rgb="FF000000"/>
            <rFont val="Tahoma"/>
            <family val="2"/>
          </rPr>
          <t xml:space="preserve">Experienced property management company requesting points </t>
        </r>
        <r>
          <rPr>
            <u/>
            <sz val="9"/>
            <color rgb="FF000000"/>
            <rFont val="Tahoma"/>
            <family val="2"/>
          </rPr>
          <t>must</t>
        </r>
        <r>
          <rPr>
            <sz val="9"/>
            <color rgb="FF000000"/>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<sst xmlns="http://schemas.openxmlformats.org/spreadsheetml/2006/main" count="5272" uniqueCount="2839">
  <si>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</si>
  <si>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</si>
  <si>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</si>
  <si>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</si>
  <si>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</si>
  <si>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</si>
  <si>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</si>
  <si>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</si>
  <si>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</si>
  <si>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</si>
  <si>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</si>
  <si>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</si>
  <si>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</si>
  <si>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</si>
  <si>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</si>
  <si>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</si>
  <si>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</si>
  <si>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</si>
  <si>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</si>
  <si>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</si>
  <si>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</si>
  <si>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</si>
  <si>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</si>
  <si>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</si>
  <si>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</si>
  <si>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</si>
  <si>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</si>
  <si>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</si>
  <si>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</si>
  <si>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</si>
  <si>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</si>
  <si>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</si>
  <si>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</si>
  <si>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</si>
  <si>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</si>
  <si>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</si>
  <si>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</si>
  <si>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</si>
  <si>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</si>
  <si>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</si>
  <si>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</si>
  <si>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</si>
  <si>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</si>
  <si>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</si>
  <si>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</si>
  <si>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</si>
  <si>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</si>
  <si>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</si>
  <si>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</si>
  <si>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</si>
  <si>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</si>
  <si>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</si>
  <si>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</si>
  <si>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</si>
  <si>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</si>
  <si>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</si>
  <si>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</si>
  <si>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</si>
  <si>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</si>
  <si>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</si>
  <si>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</si>
  <si>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</si>
  <si>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</si>
  <si>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</si>
  <si>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</si>
  <si>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</si>
  <si>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</si>
  <si>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</si>
  <si>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</si>
  <si>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</si>
  <si>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</si>
  <si>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</si>
  <si>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</si>
  <si>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</si>
  <si>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</si>
  <si>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</si>
  <si>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</si>
  <si>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</si>
  <si>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</si>
  <si>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</si>
  <si>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</si>
  <si>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</si>
  <si>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</si>
  <si>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</si>
  <si>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</si>
  <si>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</si>
  <si>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</si>
  <si>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</si>
  <si>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</si>
  <si>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</si>
  <si>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</si>
  <si>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</si>
  <si>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</si>
  <si>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</si>
  <si>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</si>
  <si>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</si>
  <si>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</si>
  <si>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</si>
  <si>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</si>
  <si>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</si>
  <si>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</si>
  <si>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</si>
  <si>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</si>
  <si>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</si>
  <si>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</si>
  <si>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</si>
  <si>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</si>
  <si>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</si>
  <si>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</si>
  <si>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</si>
  <si>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</si>
  <si>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</si>
  <si>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</si>
  <si>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</si>
  <si>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</si>
  <si>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</si>
  <si>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</si>
  <si>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</si>
  <si>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</si>
  <si>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</si>
  <si>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</si>
  <si>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</si>
  <si>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</si>
  <si>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</si>
  <si>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</si>
  <si>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</si>
  <si>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</si>
  <si>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</si>
  <si>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</si>
  <si>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</si>
  <si>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</si>
  <si>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</si>
  <si>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</si>
  <si>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</si>
  <si>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</si>
  <si>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</si>
  <si>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</si>
  <si>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</si>
  <si>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</si>
  <si>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</si>
  <si>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</si>
  <si>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</si>
  <si>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</si>
  <si>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</si>
  <si>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</si>
  <si>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</si>
  <si>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</si>
  <si>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</si>
  <si>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</si>
  <si>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</si>
  <si>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</si>
  <si>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</si>
  <si>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</si>
  <si>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</si>
  <si>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</si>
  <si>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</si>
  <si>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</si>
  <si>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</si>
  <si>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</si>
  <si>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</si>
  <si>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</si>
  <si>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</si>
  <si>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</si>
  <si>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</si>
  <si>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</si>
  <si>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</si>
  <si>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</si>
  <si>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</si>
  <si>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</si>
  <si>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</si>
  <si>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</si>
  <si>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</si>
  <si>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</si>
  <si>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</si>
  <si>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</si>
  <si>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</si>
  <si>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</si>
  <si>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</si>
  <si>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</si>
  <si>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</si>
  <si>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</si>
  <si>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</si>
  <si>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</si>
  <si>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</si>
  <si>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</si>
  <si>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</si>
  <si>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</si>
  <si>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</si>
  <si>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</si>
  <si>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</si>
  <si>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</si>
  <si>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</si>
  <si>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</si>
  <si>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</si>
  <si>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</si>
  <si>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</si>
  <si>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</si>
  <si>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</si>
  <si>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</si>
  <si>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</si>
  <si>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</si>
  <si>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</si>
  <si>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</si>
  <si>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</si>
  <si>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</si>
  <si>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</si>
  <si>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</si>
  <si>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</si>
  <si>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</si>
  <si>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</si>
  <si>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</si>
  <si>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</si>
  <si>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</si>
  <si>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</si>
  <si>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</si>
  <si>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</si>
  <si>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</si>
  <si>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</si>
  <si>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</si>
  <si>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</si>
  <si>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</si>
  <si>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</si>
  <si>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</si>
  <si>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</si>
  <si>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</si>
  <si>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</si>
  <si>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</si>
  <si>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</si>
  <si>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</si>
  <si>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</si>
  <si>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</si>
  <si>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</si>
  <si>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</si>
  <si>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</si>
  <si>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</si>
  <si>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</si>
  <si>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</si>
  <si>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</si>
  <si>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</si>
  <si>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</si>
  <si>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</si>
  <si>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</si>
  <si>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</si>
  <si>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</si>
  <si>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</si>
  <si>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</si>
  <si>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</si>
  <si>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</si>
  <si>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</si>
  <si>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</si>
  <si>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</si>
  <si>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</si>
  <si>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</si>
  <si>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</si>
  <si>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</si>
  <si>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</si>
  <si>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</si>
  <si>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</si>
  <si>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</si>
  <si>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</si>
  <si>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</si>
  <si>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</si>
  <si>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</si>
  <si>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</si>
  <si>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</si>
  <si>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</si>
  <si>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</si>
  <si>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</si>
  <si>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</si>
  <si>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</si>
  <si>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</si>
  <si>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</si>
  <si>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</si>
  <si>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</si>
  <si>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</si>
  <si>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</si>
  <si>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</si>
  <si>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</si>
  <si>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</si>
  <si>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</si>
  <si>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</si>
  <si>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</si>
  <si>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</si>
  <si>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</si>
  <si>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</si>
  <si>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</si>
  <si>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</si>
  <si>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</si>
  <si>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</si>
  <si>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</si>
  <si>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</si>
  <si>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</si>
  <si>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</si>
  <si>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</si>
  <si>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</si>
  <si>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</si>
  <si>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</si>
  <si>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</si>
  <si>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</si>
  <si>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</si>
  <si>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</si>
  <si>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</si>
  <si>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</si>
  <si>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</si>
  <si>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</si>
  <si>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</si>
  <si>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</si>
  <si>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</si>
  <si>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</si>
  <si>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</si>
  <si>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</si>
  <si>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</si>
  <si>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</si>
  <si>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</si>
  <si>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</si>
  <si>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</si>
  <si>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</si>
  <si>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</si>
  <si>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</si>
  <si>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</si>
  <si>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</si>
  <si>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</si>
  <si>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</si>
  <si>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</si>
  <si>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</si>
  <si>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</si>
  <si>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</si>
  <si>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</si>
  <si>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</si>
  <si>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</si>
  <si>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</si>
  <si>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</si>
  <si>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</si>
  <si>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</si>
  <si>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</si>
  <si>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</si>
  <si>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</si>
  <si>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</si>
  <si>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</si>
  <si>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</si>
  <si>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</si>
  <si>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</si>
  <si>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</si>
  <si>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</si>
  <si>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</si>
  <si>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</si>
  <si>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</si>
  <si>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</si>
  <si>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</si>
  <si>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</si>
  <si>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</si>
  <si>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</si>
  <si>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</si>
  <si>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</si>
  <si>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</si>
  <si>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</si>
  <si>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</si>
  <si>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</si>
  <si>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</si>
  <si>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</si>
  <si>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</si>
  <si>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</si>
  <si>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</si>
  <si>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</si>
  <si>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</si>
  <si>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</si>
  <si>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</si>
  <si>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</si>
  <si>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</si>
  <si>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</si>
  <si>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</si>
  <si>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</si>
  <si>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</si>
  <si>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</si>
  <si>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</si>
  <si>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</si>
  <si>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</si>
  <si>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</si>
  <si>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</si>
  <si>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</si>
  <si>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</si>
  <si>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</si>
  <si>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</si>
  <si>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</si>
  <si>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</si>
  <si>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</si>
  <si>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</si>
  <si>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</si>
  <si>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</si>
  <si>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</si>
  <si>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</si>
  <si>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</si>
  <si>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</si>
  <si>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</si>
  <si>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</si>
  <si>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</si>
  <si>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</si>
  <si>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</si>
  <si>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</si>
  <si>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</si>
  <si>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</si>
  <si>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</si>
  <si>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</si>
  <si>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</si>
  <si>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</si>
  <si>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</si>
  <si>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</si>
  <si>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</si>
  <si>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</si>
  <si>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</si>
  <si>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</si>
  <si>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</si>
  <si>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</si>
  <si>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</si>
  <si>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</si>
  <si>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</si>
  <si>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</si>
  <si>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</si>
  <si>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</si>
  <si>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</si>
  <si>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</si>
  <si>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</si>
  <si>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</si>
  <si>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</si>
  <si>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</si>
  <si>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</si>
  <si>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</si>
  <si>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</si>
  <si>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</si>
  <si>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</si>
  <si>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</si>
  <si>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</si>
  <si>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</si>
  <si>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</si>
  <si>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</si>
  <si>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</si>
  <si>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</si>
  <si>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</si>
  <si>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</si>
  <si>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</si>
  <si>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</si>
  <si>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</si>
  <si>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</si>
  <si>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</si>
  <si>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</si>
  <si>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</si>
  <si>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</si>
  <si>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</si>
  <si>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</si>
  <si>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</si>
  <si>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</si>
  <si>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</si>
  <si>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</si>
  <si>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</si>
  <si>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</si>
  <si>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</si>
  <si>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</si>
  <si>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</si>
  <si>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</si>
  <si>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</si>
  <si>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</si>
  <si>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</si>
  <si>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</si>
  <si>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</si>
  <si>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</si>
  <si>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</si>
  <si>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</si>
  <si>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</si>
  <si>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</si>
  <si>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</si>
  <si>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</si>
  <si>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</si>
  <si>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</si>
  <si>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</si>
  <si>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</si>
  <si>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</si>
  <si>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</si>
  <si>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</si>
  <si>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</si>
  <si>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</si>
  <si>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</si>
  <si>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</si>
  <si>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</si>
  <si>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</si>
  <si>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</si>
  <si>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</si>
  <si>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</si>
  <si>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</si>
  <si>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</si>
  <si>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</si>
  <si>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</si>
  <si>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</si>
  <si>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</si>
  <si>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</si>
  <si>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</si>
  <si>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</si>
  <si>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</si>
  <si>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</si>
  <si>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</si>
  <si>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</si>
  <si>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</si>
  <si>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</si>
  <si>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</si>
  <si>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</si>
  <si>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</si>
  <si>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</si>
  <si>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</si>
  <si>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</si>
  <si>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</si>
  <si>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</si>
  <si>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</si>
  <si>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</si>
  <si>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</si>
  <si>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</si>
  <si>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</si>
  <si>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</si>
  <si>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</si>
  <si>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</si>
  <si>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</si>
  <si>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</si>
  <si>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</si>
  <si>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</si>
  <si>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</si>
  <si>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</si>
  <si>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</si>
  <si>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</si>
  <si>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</si>
  <si>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</si>
  <si>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</si>
  <si>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</si>
  <si>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</si>
  <si>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</si>
  <si>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</si>
  <si>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</si>
  <si>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</si>
  <si>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</si>
  <si>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</si>
  <si>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</si>
  <si>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</si>
  <si>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</si>
  <si>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</si>
  <si>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</si>
  <si>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</si>
  <si>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</si>
  <si>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</si>
  <si>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</si>
  <si>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</si>
  <si>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</si>
  <si>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</si>
  <si>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</si>
  <si>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</si>
  <si>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</si>
  <si>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</si>
  <si>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</si>
  <si>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</si>
  <si>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</si>
  <si>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</si>
  <si>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</si>
  <si>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</si>
  <si>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</si>
  <si>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</si>
  <si>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</si>
  <si>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</si>
  <si>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</si>
  <si>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</si>
  <si>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</si>
  <si>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</si>
  <si>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</si>
  <si>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</si>
  <si>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</si>
  <si>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</si>
  <si>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</si>
  <si>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</si>
  <si>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</si>
  <si>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</si>
  <si>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</si>
  <si>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</si>
  <si>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</si>
  <si>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</si>
  <si>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</si>
  <si>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</si>
  <si>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</si>
  <si>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</si>
  <si>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</si>
  <si>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</si>
  <si>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</si>
  <si>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</si>
  <si>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</si>
  <si>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</si>
  <si>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</si>
  <si>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</si>
  <si>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</si>
  <si>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</si>
  <si>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</si>
  <si>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</si>
  <si>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</si>
  <si>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</si>
  <si>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</si>
  <si>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</si>
  <si>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</si>
  <si>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</si>
  <si>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</si>
  <si>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</si>
  <si>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</si>
  <si>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</si>
  <si>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</si>
  <si>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</si>
  <si>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</si>
  <si>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</si>
  <si>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</si>
  <si>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</si>
  <si>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</si>
  <si>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</si>
  <si>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</si>
  <si>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</si>
  <si>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</si>
  <si>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</si>
  <si>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</si>
  <si>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</si>
  <si>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</si>
  <si>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</si>
  <si>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</si>
  <si>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</si>
  <si>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</si>
  <si>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</si>
  <si>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</si>
  <si>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</si>
  <si>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</si>
  <si>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</si>
  <si>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</si>
  <si>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</si>
  <si>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</si>
  <si>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</si>
  <si>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</si>
  <si>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</si>
  <si>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</si>
  <si>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</si>
  <si>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</si>
  <si>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</si>
  <si>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</si>
  <si>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</si>
  <si>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</si>
  <si>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</si>
  <si>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</si>
  <si>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</si>
  <si>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</si>
  <si>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</si>
  <si>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</si>
  <si>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</si>
  <si>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</si>
  <si>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</si>
  <si>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</si>
  <si>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</si>
  <si>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</si>
  <si>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</si>
  <si>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</si>
  <si>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</si>
  <si>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</si>
  <si>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</si>
  <si>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</si>
  <si>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</si>
  <si>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</si>
  <si>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</si>
  <si>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</si>
  <si>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</si>
  <si>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</si>
  <si>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</si>
  <si>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</si>
  <si>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</si>
  <si>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</si>
  <si>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</si>
  <si>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</si>
  <si>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</si>
  <si>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</si>
  <si>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</si>
  <si>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</si>
  <si>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</si>
  <si>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</si>
  <si>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</si>
  <si>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</si>
  <si>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</si>
  <si>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</si>
  <si>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</si>
  <si>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</si>
  <si>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</si>
  <si>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</si>
  <si>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</si>
  <si>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</si>
  <si>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</si>
  <si>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</si>
  <si>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</si>
  <si>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</si>
  <si>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</si>
  <si>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</si>
  <si>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</si>
  <si>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</si>
  <si>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</si>
  <si>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</si>
  <si>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</si>
  <si>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</si>
  <si>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</si>
  <si>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</si>
  <si>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</si>
  <si>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</si>
  <si>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</si>
  <si>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</si>
  <si>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</si>
  <si>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</si>
  <si>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</si>
  <si>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</si>
  <si>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</si>
  <si>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</si>
  <si>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</si>
  <si>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</si>
  <si>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</si>
  <si>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</si>
  <si>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</si>
  <si>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</si>
  <si>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</si>
  <si>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</si>
  <si>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</si>
  <si>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</si>
  <si>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</si>
  <si>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</si>
  <si>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</si>
  <si>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</si>
  <si>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</si>
  <si>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</si>
  <si>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</si>
  <si>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</si>
  <si>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</si>
  <si>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</si>
  <si>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</si>
  <si>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</si>
  <si>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</si>
  <si>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</si>
  <si>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</si>
  <si>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</si>
  <si>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</si>
  <si>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</si>
  <si>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</si>
  <si>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</si>
  <si>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</si>
  <si>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</si>
  <si>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</si>
  <si>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</si>
  <si>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</si>
  <si>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</si>
  <si>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</si>
  <si>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</si>
  <si>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</si>
  <si>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</si>
  <si>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</si>
  <si>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</si>
  <si>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</si>
  <si>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</si>
  <si>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</si>
  <si>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</si>
  <si>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</si>
  <si>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</si>
  <si>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</si>
  <si>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</si>
  <si>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</si>
  <si>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</si>
  <si>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</si>
  <si>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</si>
  <si>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</si>
  <si>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</si>
  <si>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</si>
  <si>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</si>
  <si>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</si>
  <si>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</si>
  <si>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</si>
  <si>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</si>
  <si>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</si>
  <si>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</si>
  <si>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</si>
  <si>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</si>
  <si>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</si>
  <si>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</si>
  <si>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</si>
  <si>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</si>
  <si>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</si>
  <si>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</si>
  <si>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</si>
  <si>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</si>
  <si>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</si>
  <si>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</si>
  <si>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</si>
  <si>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</si>
  <si>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</si>
  <si>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</si>
  <si>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</si>
  <si>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</si>
  <si>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</si>
  <si>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</si>
  <si>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</si>
  <si>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</si>
  <si>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</si>
  <si>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</si>
  <si>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</si>
  <si>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</si>
  <si>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</si>
  <si>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</si>
  <si>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</si>
  <si>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</si>
  <si>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</si>
  <si>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</si>
  <si>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</si>
  <si>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</si>
  <si>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</si>
  <si>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</si>
  <si>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</si>
  <si>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</si>
  <si>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</si>
  <si>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</si>
  <si>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</si>
  <si>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</si>
  <si>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</si>
  <si>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</si>
  <si>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</si>
  <si>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</si>
  <si>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</si>
  <si>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</si>
  <si>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</si>
  <si>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</si>
  <si>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</si>
  <si>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</si>
  <si>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</si>
  <si>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</si>
  <si>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</si>
  <si>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</si>
  <si>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</si>
  <si>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</si>
  <si>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</si>
  <si>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</si>
  <si>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</si>
  <si>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</si>
  <si>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</si>
  <si>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</si>
  <si>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</si>
  <si>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</si>
  <si>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</si>
  <si>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</si>
  <si>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</si>
  <si>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</si>
  <si>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</si>
  <si>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</si>
  <si>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</si>
  <si>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</si>
  <si>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</si>
  <si>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</si>
  <si>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</si>
  <si>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</si>
  <si>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</si>
  <si>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</si>
  <si>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</si>
  <si>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</si>
  <si>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</si>
  <si>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</si>
  <si>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</si>
  <si>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</si>
  <si>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</si>
  <si>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</si>
  <si>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</si>
  <si>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</si>
  <si>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</si>
  <si>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</si>
  <si>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</si>
  <si>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</si>
  <si>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</si>
  <si>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</si>
  <si>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</si>
  <si>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</si>
  <si>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</si>
  <si>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</si>
  <si>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</si>
  <si>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</si>
  <si>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</si>
  <si>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</si>
  <si>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</si>
  <si>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</si>
  <si>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</si>
  <si>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</si>
  <si>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</si>
  <si>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</si>
  <si>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</si>
  <si>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</si>
  <si>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</si>
  <si>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</si>
  <si>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</si>
  <si>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</si>
  <si>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</si>
  <si>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</si>
  <si>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</si>
  <si>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</si>
  <si>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</si>
  <si>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</si>
  <si>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</si>
  <si>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</si>
  <si>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</si>
  <si>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</si>
  <si>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</si>
  <si>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</si>
  <si>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</si>
  <si>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</si>
  <si>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</si>
  <si>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</si>
  <si>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</si>
  <si>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</si>
  <si>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</si>
  <si>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</si>
  <si>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</si>
  <si>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</si>
  <si>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</si>
  <si>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</si>
  <si>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</si>
  <si>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</si>
  <si>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</si>
  <si>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</si>
  <si>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</si>
  <si>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</si>
  <si>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</si>
  <si>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</si>
  <si>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</si>
  <si>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</si>
  <si>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</si>
  <si>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</si>
  <si>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</si>
  <si>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</si>
  <si>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</si>
  <si>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</si>
  <si>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</si>
  <si>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</si>
  <si>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</si>
  <si>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</si>
  <si>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</si>
  <si>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</si>
  <si>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</si>
  <si>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</si>
  <si>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</si>
  <si>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</si>
  <si>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</si>
  <si>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</si>
  <si>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</si>
  <si>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</si>
  <si>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</si>
  <si>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</si>
  <si>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</si>
  <si>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</si>
  <si>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</si>
  <si>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</si>
  <si>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</si>
  <si>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</si>
  <si>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</si>
  <si>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</si>
  <si>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</si>
  <si>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</si>
  <si>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</si>
  <si>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</si>
  <si>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</si>
  <si>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</si>
  <si>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</si>
  <si>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</si>
  <si>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</si>
  <si>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</si>
  <si>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</si>
  <si>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</si>
  <si>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</si>
  <si>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</si>
  <si>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</si>
  <si>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</si>
  <si>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</si>
  <si>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</si>
  <si>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</si>
  <si>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</si>
  <si>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</si>
  <si>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</si>
  <si>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</si>
  <si>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</si>
  <si>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</si>
  <si>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</si>
  <si>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</si>
  <si>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</si>
  <si>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</si>
  <si>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</si>
  <si>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</si>
  <si>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</si>
  <si>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</si>
  <si>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</si>
  <si>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</si>
  <si>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</si>
  <si>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</si>
  <si>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</si>
  <si>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</si>
  <si>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</si>
  <si>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</si>
  <si>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</si>
  <si>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</si>
  <si>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</si>
  <si>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</si>
  <si>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</si>
  <si>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</si>
  <si>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</si>
  <si>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</si>
  <si>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</si>
  <si>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</si>
  <si>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</si>
  <si>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</si>
  <si>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</si>
  <si>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</si>
  <si>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</si>
  <si>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</si>
  <si>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</si>
  <si>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</si>
  <si>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</si>
  <si>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</si>
  <si>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</si>
  <si>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</si>
  <si>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</si>
  <si>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</si>
  <si>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</si>
  <si>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</si>
  <si>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</si>
  <si>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</si>
  <si>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</si>
  <si>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</si>
  <si>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</si>
  <si>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</si>
  <si>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</si>
  <si>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</si>
  <si>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</si>
  <si>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</si>
  <si>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</si>
  <si>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</si>
  <si>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</si>
  <si>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</si>
  <si>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</si>
  <si>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</si>
  <si>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</si>
  <si>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</si>
  <si>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</si>
  <si>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</si>
  <si>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</si>
  <si>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</si>
  <si>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</si>
  <si>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</si>
  <si>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</si>
  <si>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</si>
  <si>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</si>
  <si>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</si>
  <si>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</si>
  <si>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</si>
  <si>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</si>
  <si>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</si>
  <si>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</si>
  <si>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</si>
  <si>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</si>
  <si>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</si>
  <si>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</si>
  <si>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</si>
  <si>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</si>
  <si>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</si>
  <si>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</si>
  <si>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</si>
  <si>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</si>
  <si>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</si>
  <si>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</si>
  <si>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</si>
  <si>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</si>
  <si>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</si>
  <si>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</si>
  <si>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</si>
  <si>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</si>
  <si>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</si>
  <si>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</si>
  <si>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</si>
  <si>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</si>
  <si>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</si>
  <si>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</si>
  <si>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</si>
  <si>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</si>
  <si>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</si>
  <si>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</si>
  <si>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</si>
  <si>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</si>
  <si>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</si>
  <si>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</si>
  <si>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</si>
  <si>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</si>
  <si>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</si>
  <si>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</si>
  <si>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</si>
  <si>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</si>
  <si>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</si>
  <si>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</si>
  <si>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</si>
  <si>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</si>
  <si>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</si>
  <si>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</si>
  <si>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</si>
  <si>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</si>
  <si>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</si>
  <si>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</si>
  <si>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</si>
  <si>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</si>
  <si>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</si>
  <si>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</si>
  <si>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</si>
  <si>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</si>
  <si>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</si>
  <si>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</si>
  <si>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</si>
  <si>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</si>
  <si>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</si>
  <si>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</si>
  <si>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</si>
  <si>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</si>
  <si>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</si>
  <si>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</si>
  <si>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</si>
  <si>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</si>
  <si>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</si>
  <si>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</si>
  <si>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</si>
  <si>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</si>
  <si>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</si>
  <si>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</si>
  <si>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</si>
  <si>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</si>
  <si>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</si>
  <si>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</si>
  <si>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</si>
  <si>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</si>
  <si>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</si>
  <si>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</si>
  <si>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</si>
  <si>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</si>
  <si>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</si>
  <si>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</si>
  <si>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</si>
  <si>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</si>
  <si>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</si>
  <si>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</si>
  <si>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</si>
  <si>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</si>
  <si>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</si>
  <si>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</si>
  <si>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</si>
  <si>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</si>
  <si>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</si>
  <si>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</si>
  <si>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</si>
  <si>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</si>
  <si>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</si>
  <si>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</si>
  <si>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</si>
  <si>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</si>
  <si>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</si>
  <si>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</si>
  <si>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</si>
  <si>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</si>
  <si>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</si>
  <si>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</si>
  <si>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</si>
  <si>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</si>
  <si>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</si>
  <si>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</si>
  <si>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</si>
  <si>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</si>
  <si>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</si>
  <si>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</si>
  <si>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</si>
  <si>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</si>
  <si>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</si>
  <si>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</si>
  <si>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</si>
  <si>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</si>
  <si>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</si>
  <si>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</si>
  <si>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</si>
  <si>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</si>
  <si>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</si>
  <si>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</si>
  <si>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</si>
  <si>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</si>
  <si>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</si>
  <si>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</si>
  <si>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</si>
  <si>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</si>
  <si>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</si>
  <si>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</si>
  <si>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</si>
  <si>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</si>
  <si>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</si>
  <si>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</si>
  <si>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</si>
  <si>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</si>
  <si>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</si>
  <si>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</si>
  <si>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</si>
  <si>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</si>
  <si>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</si>
  <si>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</si>
  <si>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</si>
  <si>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</si>
  <si>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</si>
  <si>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</si>
  <si>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</si>
  <si>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</si>
  <si>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</si>
  <si>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</si>
  <si>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</si>
  <si>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</si>
  <si>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</si>
  <si>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</si>
  <si>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</si>
  <si>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</si>
  <si>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</si>
  <si>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</si>
  <si>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</si>
  <si>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</si>
  <si>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</si>
  <si>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</si>
  <si>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</si>
  <si>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</si>
  <si>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</si>
  <si>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</si>
  <si>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</si>
  <si>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</si>
  <si>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</si>
  <si>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</si>
  <si>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</si>
  <si>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</si>
  <si>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</si>
  <si>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</si>
  <si>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</si>
  <si>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</si>
  <si>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</si>
  <si>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</si>
  <si>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</si>
  <si>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</si>
  <si>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</si>
  <si>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</si>
  <si>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</si>
  <si>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</si>
  <si>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</si>
  <si>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</si>
  <si>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</si>
  <si>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</si>
  <si>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</si>
  <si>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</si>
  <si>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</si>
  <si>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</si>
  <si>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</si>
  <si>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</si>
  <si>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</si>
  <si>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</si>
  <si>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</si>
  <si>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</si>
  <si>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</si>
  <si>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</si>
  <si>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</si>
  <si>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</si>
  <si>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</si>
  <si>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</si>
  <si>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</si>
  <si>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</si>
  <si>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</si>
  <si>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</si>
  <si>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</si>
  <si>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</si>
  <si>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</si>
  <si>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</si>
  <si>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</si>
  <si>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</si>
  <si>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</si>
  <si>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</si>
  <si>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</si>
  <si>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</si>
  <si>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</si>
  <si>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</si>
  <si>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</si>
  <si>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</si>
  <si>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</si>
  <si>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</si>
  <si>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</si>
  <si>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</si>
  <si>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</si>
  <si>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</si>
  <si>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</si>
  <si>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</si>
  <si>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</si>
  <si>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</si>
  <si>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</si>
  <si>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</si>
  <si>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</si>
  <si>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</si>
  <si>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</si>
  <si>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</si>
  <si>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</si>
  <si>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</si>
  <si>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</si>
  <si>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</si>
  <si>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</si>
  <si>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</si>
  <si>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</si>
  <si>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</si>
  <si>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</si>
  <si>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</si>
  <si>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</si>
  <si>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</si>
  <si>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</si>
  <si>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</si>
  <si>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</si>
  <si>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</si>
  <si>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</si>
  <si>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</si>
  <si>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</si>
  <si>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</si>
  <si>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</si>
  <si>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</si>
  <si>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</si>
  <si>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</si>
  <si>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</si>
  <si>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</si>
  <si>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</si>
  <si>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</si>
  <si>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</si>
  <si>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</si>
  <si>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</si>
  <si>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</si>
  <si>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</si>
  <si>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</si>
  <si>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</si>
  <si>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</si>
  <si>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</si>
  <si>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</si>
  <si>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</si>
  <si>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</si>
  <si>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</si>
  <si>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</si>
  <si>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</si>
  <si>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</si>
  <si>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</si>
  <si>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</si>
  <si>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</si>
  <si>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</si>
  <si>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</si>
  <si>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</si>
  <si>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</si>
  <si>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</si>
  <si>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</si>
  <si>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</si>
  <si>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</si>
  <si>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</si>
  <si>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</si>
  <si>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</si>
  <si>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</si>
  <si>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</si>
  <si>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</si>
  <si>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</si>
  <si>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</si>
  <si>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</si>
  <si>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</si>
  <si>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</si>
  <si>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</si>
  <si>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</si>
  <si>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</si>
  <si>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</si>
  <si>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</si>
  <si>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</si>
  <si>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</si>
  <si>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</si>
  <si>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</si>
  <si>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</si>
  <si>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</si>
  <si>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</si>
  <si>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</si>
  <si>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</si>
  <si>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</si>
  <si>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</si>
  <si>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</si>
  <si>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</si>
  <si>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</si>
  <si>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</si>
  <si>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</si>
  <si>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</si>
  <si>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</si>
  <si>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</si>
  <si>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</si>
  <si>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</si>
  <si>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</si>
  <si>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</si>
  <si>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</si>
  <si>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</si>
  <si>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</si>
  <si>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</si>
  <si>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</si>
  <si>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</si>
  <si>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</si>
  <si>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</si>
  <si>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</si>
  <si>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</si>
  <si>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</si>
  <si>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</si>
  <si>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</si>
  <si>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</si>
  <si>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</si>
  <si>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</si>
  <si>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</si>
  <si>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</si>
  <si>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</si>
  <si>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</si>
  <si>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</si>
  <si>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</si>
  <si>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</si>
  <si>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</si>
  <si>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</si>
  <si>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</si>
  <si>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</si>
  <si>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</si>
  <si>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</si>
  <si>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</si>
  <si>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</si>
  <si>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</si>
  <si>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</si>
  <si>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</si>
  <si>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</si>
  <si>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</si>
  <si>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</si>
  <si>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</si>
  <si>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</si>
  <si>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</si>
  <si>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</si>
  <si>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</si>
  <si>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</si>
  <si>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</si>
  <si>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</si>
  <si>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</si>
  <si>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</si>
  <si>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</si>
  <si>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</si>
  <si>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</si>
  <si>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</si>
  <si>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</si>
  <si>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</si>
  <si>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</si>
  <si>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</si>
  <si>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</si>
  <si>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</si>
  <si>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</si>
  <si>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</si>
  <si>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</si>
  <si>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</si>
  <si>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</si>
  <si>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</si>
  <si>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</si>
  <si>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</si>
  <si>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</si>
  <si>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</si>
  <si>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</si>
  <si>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</si>
  <si>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</si>
  <si>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</si>
  <si>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</si>
  <si>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</si>
  <si>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</si>
  <si>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</si>
  <si>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</si>
  <si>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</si>
  <si>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</si>
  <si>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</si>
  <si>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</si>
  <si>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</si>
  <si>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</si>
  <si>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</si>
  <si>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</si>
  <si>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</si>
  <si>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</si>
  <si>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</si>
  <si>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</si>
  <si>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</si>
  <si>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</si>
  <si>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</si>
  <si>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</si>
  <si>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</si>
  <si>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</si>
  <si>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</si>
  <si>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</si>
  <si>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</si>
  <si>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</si>
  <si>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</si>
  <si>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</si>
  <si>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</si>
  <si>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</si>
  <si>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</si>
  <si>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</si>
  <si>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</si>
  <si>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</si>
  <si>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</si>
  <si>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</si>
  <si>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</si>
  <si>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</si>
  <si>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</si>
  <si>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</si>
  <si>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</si>
  <si>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</si>
  <si>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</si>
  <si>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</si>
  <si>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</si>
  <si>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</si>
  <si>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</si>
  <si>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</si>
  <si>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</si>
  <si>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</si>
  <si>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</si>
  <si>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</si>
  <si>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</si>
  <si>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</si>
  <si>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</si>
  <si>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</si>
  <si>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</si>
  <si>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</si>
  <si>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</si>
  <si>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</si>
  <si>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</si>
  <si>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</si>
  <si>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</si>
  <si>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</si>
  <si>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</si>
  <si>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</si>
  <si>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</si>
  <si>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</si>
  <si>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</si>
  <si>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</si>
  <si>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</si>
  <si>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</si>
  <si>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</si>
  <si>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</si>
  <si>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</si>
  <si>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</si>
  <si>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</si>
  <si>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</si>
  <si>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</si>
  <si>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</si>
  <si>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</si>
  <si>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</si>
  <si>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</si>
  <si>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</si>
  <si>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</si>
  <si>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</si>
  <si>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</si>
  <si>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</si>
  <si>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</si>
  <si>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</si>
  <si>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</si>
  <si>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</si>
  <si>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</si>
  <si>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</si>
  <si>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</si>
  <si>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</si>
  <si>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</si>
  <si>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</si>
  <si>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</si>
  <si>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</si>
  <si>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</si>
  <si>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</si>
  <si>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</si>
  <si>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</si>
  <si>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</si>
  <si>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</si>
  <si>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</si>
  <si>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</si>
  <si>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</si>
  <si>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</si>
  <si>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</si>
  <si>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</si>
  <si>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</si>
  <si>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</si>
  <si>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</si>
  <si>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</si>
  <si>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</si>
  <si>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</si>
  <si>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</si>
  <si>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</si>
  <si>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</si>
  <si>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</si>
  <si>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</si>
  <si>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</si>
  <si>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</si>
  <si>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</si>
  <si>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</si>
  <si>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</si>
  <si>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</si>
  <si>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</si>
  <si>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</si>
  <si>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</si>
  <si>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</si>
  <si>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</si>
  <si>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</si>
  <si>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</si>
  <si>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</si>
  <si>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</si>
  <si>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</si>
  <si>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</si>
  <si>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</si>
  <si>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</si>
  <si>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</si>
  <si>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</si>
  <si>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</si>
  <si>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</si>
  <si>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</si>
  <si>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</si>
  <si>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</si>
  <si>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</si>
  <si>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</si>
  <si>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</si>
  <si>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</si>
  <si>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</si>
  <si>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</si>
  <si>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</si>
  <si>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</si>
  <si>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</si>
  <si>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</si>
  <si>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</si>
  <si>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</si>
  <si>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</si>
  <si>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</si>
  <si>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</si>
  <si>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</si>
  <si>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</si>
  <si>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</si>
  <si>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</si>
  <si>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</si>
  <si>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</si>
  <si>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</si>
  <si>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</si>
  <si>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</si>
  <si>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</si>
  <si>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</si>
  <si>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</si>
  <si>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</si>
  <si>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</si>
  <si>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</si>
  <si>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</si>
  <si>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</si>
  <si>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</si>
  <si>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</si>
  <si>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</si>
  <si>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</si>
  <si>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</si>
  <si>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</si>
  <si>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</si>
  <si>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</si>
  <si>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</si>
  <si>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</si>
  <si>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</si>
  <si>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</si>
  <si>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</si>
  <si>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</si>
  <si>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</si>
  <si>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</si>
  <si>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</si>
  <si>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</si>
  <si>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</si>
  <si>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</si>
  <si>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</si>
  <si>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</si>
  <si>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</si>
  <si>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</si>
  <si>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</si>
  <si>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</si>
  <si>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</si>
  <si>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</si>
  <si>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</si>
  <si>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</si>
  <si>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</si>
  <si>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</si>
  <si>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</si>
  <si>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</si>
  <si>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</si>
  <si>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</si>
  <si>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</si>
  <si>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</si>
  <si>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</si>
  <si>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</si>
  <si>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</si>
  <si>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</si>
  <si>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</si>
  <si>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</si>
  <si>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</si>
  <si>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</si>
  <si>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</si>
  <si>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</si>
  <si>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</si>
  <si>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</si>
  <si>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</si>
  <si>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</si>
  <si>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</si>
  <si>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</si>
  <si>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</si>
  <si>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</si>
  <si>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</si>
  <si>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</si>
  <si>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</si>
  <si>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</si>
  <si>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</si>
  <si>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</si>
  <si>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</si>
  <si>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</si>
  <si>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</si>
  <si>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</si>
  <si>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</si>
  <si>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</si>
  <si>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</si>
  <si>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</si>
  <si>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</si>
  <si>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</si>
  <si>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</si>
  <si>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</si>
  <si>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</si>
  <si>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</si>
  <si>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</si>
  <si>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</si>
  <si>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</si>
  <si>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</si>
  <si>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</si>
  <si>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</si>
  <si>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</si>
  <si>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</si>
  <si>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</si>
  <si>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</si>
  <si>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</si>
  <si>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</si>
  <si>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</si>
  <si>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</si>
  <si>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</si>
  <si>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</si>
  <si>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</si>
  <si>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</si>
  <si>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</si>
  <si>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</si>
  <si>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</si>
  <si>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</si>
  <si>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</si>
  <si>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</si>
  <si>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</si>
  <si>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</si>
  <si>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</si>
  <si>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</si>
  <si>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</si>
  <si>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</si>
  <si>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</si>
  <si>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</si>
  <si>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</si>
  <si>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</si>
  <si>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</si>
  <si>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</si>
  <si>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</si>
  <si>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</si>
  <si>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</si>
  <si>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</si>
  <si>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</si>
  <si>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</si>
  <si>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</si>
  <si>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</si>
  <si>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</si>
  <si>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</si>
  <si>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</si>
  <si>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</si>
  <si>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</si>
  <si>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</si>
  <si>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</si>
  <si>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</si>
  <si>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</si>
  <si>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</si>
  <si>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</si>
  <si>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</si>
  <si>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</si>
  <si>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</si>
  <si>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</si>
  <si>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</si>
  <si>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</si>
  <si>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</si>
  <si>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</si>
  <si>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</si>
  <si>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</si>
  <si>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</si>
  <si>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</si>
  <si>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</si>
  <si>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</si>
  <si>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</si>
  <si>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</si>
  <si>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</si>
  <si>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</si>
  <si>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</si>
  <si>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</si>
  <si>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</si>
  <si>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</si>
  <si>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</si>
  <si>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</si>
  <si>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</si>
  <si>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</si>
  <si>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</si>
  <si>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</si>
  <si>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</si>
  <si>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</si>
  <si>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</si>
  <si>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</si>
  <si>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</si>
  <si>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</si>
  <si>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</si>
  <si>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</si>
  <si>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</si>
  <si>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</si>
  <si>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</si>
  <si>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</si>
  <si>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</si>
  <si>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</si>
  <si>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</si>
  <si>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</si>
  <si>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</si>
  <si>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</si>
  <si>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</si>
  <si>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</si>
  <si>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</si>
  <si>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</si>
  <si>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</si>
  <si>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</si>
  <si>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</si>
  <si>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</si>
  <si>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</si>
  <si>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</si>
  <si>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</si>
  <si>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</si>
  <si>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</si>
  <si>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</si>
  <si>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</si>
  <si>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</si>
  <si>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</si>
  <si>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</si>
  <si>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</si>
  <si>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</si>
  <si>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</si>
  <si>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</si>
  <si>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</si>
  <si>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</si>
  <si>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</si>
  <si>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</si>
  <si>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</si>
  <si>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</si>
  <si>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</si>
  <si>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</si>
  <si>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</si>
  <si>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</si>
  <si>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</si>
  <si>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</si>
  <si>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</si>
  <si>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</si>
  <si>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</si>
  <si>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</si>
  <si>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</si>
  <si>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</si>
  <si>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</si>
  <si>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</si>
  <si>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</si>
  <si>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</si>
  <si>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</si>
  <si>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</si>
  <si>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</si>
  <si>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</si>
  <si>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</si>
  <si>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</si>
  <si>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</si>
  <si>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</si>
  <si>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</si>
  <si>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</si>
  <si>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</si>
  <si>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</si>
  <si>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</si>
  <si>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</si>
  <si>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</si>
  <si>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</si>
  <si>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</si>
  <si>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</si>
  <si>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</si>
  <si>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</si>
  <si>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</si>
  <si>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</si>
  <si>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</si>
  <si>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</si>
  <si>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</si>
  <si>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</si>
  <si>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</si>
  <si>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</si>
  <si>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</si>
  <si>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</si>
  <si>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</si>
  <si>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</si>
  <si>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</si>
  <si>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</si>
  <si>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</si>
  <si>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</si>
  <si>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</si>
  <si>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</si>
  <si>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</si>
  <si>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</si>
  <si>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</si>
  <si>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</si>
  <si>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</si>
  <si>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</si>
  <si>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</si>
  <si>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</si>
  <si>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</si>
  <si>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</si>
  <si>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</si>
  <si>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</si>
  <si>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</si>
  <si>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</si>
  <si>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</si>
  <si>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</si>
  <si>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</si>
  <si>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</si>
  <si>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</si>
  <si>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</si>
  <si>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</si>
  <si>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</si>
  <si>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</si>
  <si>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</si>
  <si>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</si>
  <si>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</si>
  <si>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</si>
  <si>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</si>
  <si>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</si>
  <si>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</si>
  <si>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</si>
  <si>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</si>
  <si>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</si>
  <si>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</si>
  <si>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</si>
  <si>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</si>
  <si>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</si>
  <si>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</si>
  <si>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</si>
  <si>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</si>
  <si>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</si>
  <si>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</si>
  <si>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</si>
  <si>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</si>
  <si>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</si>
  <si>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</si>
  <si>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</si>
  <si>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</si>
  <si>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</si>
  <si>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</si>
  <si>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</si>
  <si>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</si>
  <si>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</si>
  <si>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</si>
  <si>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</si>
  <si>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</si>
  <si>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</si>
  <si>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</si>
  <si>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</si>
  <si>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</si>
  <si>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</si>
  <si>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</si>
  <si>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</si>
  <si>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</si>
  <si>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</si>
  <si>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</si>
  <si>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</si>
  <si>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</si>
  <si>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</si>
  <si>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</si>
  <si>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</si>
  <si>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</si>
  <si>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</si>
  <si>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</si>
  <si>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</si>
  <si>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</si>
  <si>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</si>
  <si>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</si>
  <si>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</si>
  <si>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</si>
  <si>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</si>
  <si>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</si>
  <si>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</si>
  <si>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</si>
  <si>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</si>
  <si>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</si>
  <si>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</si>
  <si>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</si>
  <si>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</si>
  <si>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</si>
  <si>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</si>
  <si>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</si>
  <si>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</si>
  <si>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</si>
  <si>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</si>
  <si>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</si>
  <si>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</si>
  <si>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</si>
  <si>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</si>
  <si>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</si>
  <si>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</si>
  <si>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</si>
  <si>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</si>
  <si>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</si>
  <si>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</si>
  <si>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</si>
  <si>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</si>
  <si>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</si>
  <si>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</si>
  <si>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</si>
  <si>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</si>
  <si>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</si>
  <si>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</si>
  <si>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</si>
  <si>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</si>
  <si>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</si>
  <si>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</si>
  <si>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</si>
  <si>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</si>
  <si>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</si>
  <si>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</si>
  <si>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</si>
  <si>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</si>
  <si>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</si>
  <si>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</si>
  <si>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</si>
  <si>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</si>
  <si>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</si>
  <si>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</si>
  <si>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</si>
  <si>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</si>
  <si>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</si>
  <si>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</si>
  <si>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</si>
  <si>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</si>
  <si>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</si>
  <si>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</si>
  <si>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</si>
  <si>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</si>
  <si>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</si>
  <si>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</si>
  <si>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</si>
  <si>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</si>
  <si>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</si>
  <si>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</si>
  <si>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</si>
  <si>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</si>
  <si>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</si>
  <si>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</si>
  <si>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</si>
  <si>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</si>
  <si>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</si>
  <si>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</si>
  <si>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</si>
  <si>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</si>
  <si>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</si>
  <si>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</si>
  <si>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</si>
  <si>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</si>
  <si>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</si>
  <si>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</si>
  <si>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</si>
  <si>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</si>
  <si>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</si>
  <si>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</si>
  <si>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</si>
  <si>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</si>
  <si>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</si>
  <si>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</si>
  <si>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</si>
  <si>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</si>
  <si>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</si>
  <si>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</si>
  <si>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</si>
  <si>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</si>
  <si>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</si>
  <si>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</si>
  <si>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</si>
  <si>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</si>
  <si>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</si>
  <si>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</si>
  <si>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</si>
  <si>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</si>
  <si>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</si>
  <si>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</si>
  <si>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</si>
  <si>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</si>
  <si>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</si>
  <si>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</si>
  <si>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</si>
  <si>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</si>
  <si>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</si>
  <si>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</si>
  <si>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</si>
  <si>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</si>
  <si>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</si>
  <si>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</si>
  <si>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</si>
  <si>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</si>
  <si>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</si>
  <si>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</si>
  <si>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</si>
  <si>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</si>
  <si>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</si>
  <si>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</si>
  <si>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</si>
  <si>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</si>
  <si>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</si>
  <si>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</si>
  <si>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</si>
  <si>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</si>
  <si>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</si>
  <si>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</si>
  <si>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</si>
  <si>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</si>
  <si>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</si>
  <si>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</si>
  <si>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</si>
  <si>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</si>
  <si>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</si>
  <si>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</si>
  <si>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</si>
  <si>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</si>
  <si>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</si>
  <si>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</si>
  <si>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</si>
  <si>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</si>
  <si>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</si>
  <si>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</si>
  <si>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</si>
  <si>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</si>
  <si>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</si>
  <si>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</si>
  <si>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</si>
  <si>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</si>
  <si>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</si>
  <si>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</si>
  <si>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</si>
  <si>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</si>
  <si>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</si>
  <si>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</si>
  <si>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</si>
  <si>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</si>
  <si>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</si>
  <si>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</si>
  <si>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</si>
  <si>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</si>
  <si>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</si>
  <si>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</si>
  <si>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</si>
  <si>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</si>
  <si>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</si>
  <si>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</si>
  <si>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</si>
  <si>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</si>
  <si>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</si>
  <si>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</si>
  <si>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</si>
  <si>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</si>
  <si>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</si>
  <si>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</si>
  <si>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</si>
  <si>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</si>
  <si>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</si>
  <si>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</si>
  <si>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</si>
  <si>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</si>
  <si>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</si>
  <si>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</si>
  <si>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</si>
  <si>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</si>
  <si>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</si>
  <si>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</si>
  <si>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</si>
  <si>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</si>
  <si>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</si>
  <si>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</si>
  <si>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</si>
  <si>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</si>
  <si>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</si>
  <si>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</si>
  <si>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</si>
  <si>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</si>
  <si>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</si>
  <si>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</si>
  <si>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</si>
  <si>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</si>
  <si>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</si>
  <si>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</si>
  <si>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</si>
  <si>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</si>
  <si>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</si>
  <si>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</si>
  <si>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</si>
  <si>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</si>
  <si>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</si>
  <si>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</si>
  <si>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</si>
  <si>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</si>
  <si>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</si>
  <si>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</si>
  <si>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</si>
  <si>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</si>
  <si>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</si>
  <si>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</si>
  <si>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</si>
  <si>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</si>
  <si>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</si>
  <si>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</si>
  <si>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</si>
  <si>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</si>
  <si>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</si>
  <si>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</si>
  <si>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</si>
  <si>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</si>
  <si>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</si>
  <si>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</si>
  <si>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</si>
  <si>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</si>
  <si>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</si>
  <si>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</si>
  <si>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</si>
  <si>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</si>
  <si>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</si>
  <si>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</si>
  <si>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</si>
  <si>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</si>
  <si>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</si>
  <si>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</si>
  <si>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</si>
  <si>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</si>
  <si>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</si>
  <si>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</si>
  <si>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</si>
  <si>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</si>
  <si>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</si>
  <si>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</si>
  <si>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</si>
  <si>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</si>
  <si>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</si>
  <si>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</si>
  <si>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</si>
  <si>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</si>
  <si>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</si>
  <si>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</si>
  <si>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</si>
  <si>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</si>
  <si>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</si>
  <si>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</si>
  <si>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</si>
  <si>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</si>
  <si>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</si>
  <si>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</si>
  <si>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</si>
  <si>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</si>
  <si>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</si>
  <si>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</si>
  <si>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</si>
  <si>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</si>
  <si>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</si>
  <si>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</si>
  <si>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</si>
  <si>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</si>
  <si>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</si>
  <si>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</si>
  <si>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</si>
  <si>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</si>
  <si>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</si>
  <si>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</si>
  <si>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</si>
  <si>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</si>
  <si>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</si>
  <si>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</si>
  <si>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</si>
  <si>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</si>
  <si>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</si>
  <si>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</si>
  <si>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</si>
  <si>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</si>
  <si>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</si>
  <si>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</si>
  <si>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</si>
  <si>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</si>
  <si>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</si>
  <si>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</si>
  <si>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</si>
  <si>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</si>
  <si>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</si>
  <si>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</si>
  <si>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</si>
  <si>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</si>
  <si>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</si>
  <si>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</si>
  <si>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</si>
  <si>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</si>
  <si>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</si>
  <si>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</si>
  <si>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</si>
  <si>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</si>
  <si>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</si>
  <si>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</si>
  <si>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</si>
  <si>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</si>
  <si>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</si>
  <si>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</si>
  <si>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</si>
  <si>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</si>
  <si>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</si>
  <si>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</si>
  <si>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</si>
  <si>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</si>
  <si>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</si>
  <si>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</si>
  <si>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</si>
  <si>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</si>
  <si>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</si>
  <si>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</si>
  <si>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</si>
  <si>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</si>
  <si>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</si>
  <si>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</si>
  <si>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</si>
  <si>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</si>
  <si>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</si>
  <si>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</si>
  <si>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</si>
  <si>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</si>
  <si>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</si>
  <si>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</si>
  <si>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</si>
  <si>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</si>
  <si>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</si>
  <si>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</si>
  <si>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</si>
  <si>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</si>
  <si>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</si>
  <si>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</si>
  <si>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</si>
  <si>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</si>
  <si>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</si>
  <si>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</si>
  <si>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</si>
  <si>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</si>
  <si>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</si>
  <si>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</si>
  <si>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</si>
  <si>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</si>
  <si>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</si>
  <si>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</si>
  <si>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</si>
  <si>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</si>
  <si>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</si>
  <si>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</si>
  <si>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</si>
  <si>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</si>
  <si>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</si>
  <si>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</si>
  <si>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</si>
  <si>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</si>
  <si>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</si>
  <si>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</si>
  <si>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</si>
  <si>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</si>
  <si>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</si>
  <si>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</si>
  <si>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</si>
  <si>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</si>
  <si>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</si>
  <si>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</si>
  <si>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</si>
  <si>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</si>
  <si>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</si>
  <si>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</si>
  <si>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</si>
  <si>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</si>
  <si>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</si>
  <si>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</si>
  <si>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</si>
  <si>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</si>
  <si>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</si>
  <si>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</si>
  <si>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</si>
  <si>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</si>
  <si>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</si>
  <si>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</si>
  <si>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</si>
  <si>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</si>
  <si>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</si>
  <si>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</si>
  <si>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</si>
  <si>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</si>
  <si>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</si>
  <si>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</si>
  <si>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</si>
  <si>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</si>
  <si>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</si>
  <si>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</si>
  <si>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</si>
  <si>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</si>
  <si>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</si>
  <si>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</si>
  <si>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</si>
  <si>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</si>
  <si>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</si>
  <si>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</si>
  <si>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</si>
  <si>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</si>
  <si>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</si>
  <si>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</si>
  <si>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</si>
  <si>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</si>
  <si>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</si>
  <si>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</si>
  <si>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</si>
  <si>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</si>
  <si>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</si>
  <si>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</si>
  <si>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</si>
  <si>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</si>
  <si>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</si>
  <si>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</si>
  <si>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</si>
  <si>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</si>
  <si>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</si>
  <si>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</si>
  <si>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</si>
  <si>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</si>
  <si>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</si>
  <si>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</si>
  <si>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</si>
  <si>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</si>
  <si>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</si>
  <si>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</si>
  <si>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</si>
  <si>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</si>
  <si>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</si>
  <si>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</si>
  <si>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</si>
  <si>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</si>
  <si>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</si>
  <si>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</si>
  <si>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</si>
  <si>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</si>
  <si>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</si>
  <si>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</si>
  <si>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</si>
  <si>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</si>
  <si>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</si>
  <si>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</si>
  <si>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</si>
  <si>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</si>
  <si>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</si>
  <si>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</si>
  <si>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</si>
  <si>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</si>
  <si>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</si>
  <si>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</si>
  <si>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</si>
  <si>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</si>
  <si>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</si>
  <si>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</si>
  <si>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</si>
  <si>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</si>
  <si>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</si>
  <si>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</si>
  <si>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</si>
  <si>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</si>
  <si>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</si>
  <si>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</si>
  <si>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</si>
  <si>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</si>
  <si>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</si>
  <si>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</si>
  <si>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</si>
  <si>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</si>
  <si>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</si>
  <si>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</si>
  <si>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</si>
  <si>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</si>
  <si>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</si>
  <si>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</si>
  <si>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</si>
  <si>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</si>
  <si>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</si>
  <si>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</si>
  <si>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</si>
  <si>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</si>
  <si>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</si>
  <si>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</si>
  <si>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</si>
  <si>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</si>
  <si>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</si>
  <si>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</si>
  <si>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</si>
  <si>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</si>
  <si>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</si>
  <si>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</si>
  <si>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</si>
  <si>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</si>
  <si>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</si>
  <si>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</si>
  <si>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</si>
  <si>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</si>
  <si>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</si>
  <si>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</si>
  <si>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</si>
  <si>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</si>
  <si>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</si>
  <si>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</si>
  <si>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</si>
  <si>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</si>
  <si>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</si>
  <si>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</si>
  <si>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</si>
  <si>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</si>
  <si>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</si>
  <si>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</si>
  <si>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</si>
  <si>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</si>
  <si>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</si>
  <si>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</si>
  <si>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</si>
  <si>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</si>
  <si>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</si>
  <si>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</si>
  <si>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</si>
  <si>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</si>
  <si>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</si>
  <si>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</si>
  <si>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</si>
  <si>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</si>
  <si>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</si>
  <si>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</si>
  <si>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</si>
  <si>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</si>
  <si>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</si>
  <si>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</si>
  <si>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</si>
  <si>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</si>
  <si>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</si>
  <si>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</si>
  <si>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</si>
  <si>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</si>
  <si>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</si>
  <si>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</si>
  <si>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</si>
  <si>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</si>
  <si>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</si>
  <si>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</si>
  <si>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</si>
  <si>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</si>
  <si>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</si>
  <si>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</si>
  <si>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</si>
  <si>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</si>
  <si>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</si>
  <si>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</si>
  <si>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</si>
  <si>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</si>
  <si>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</si>
  <si>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</si>
  <si>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</si>
  <si>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</si>
  <si>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</si>
  <si>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</si>
  <si>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</si>
  <si>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</si>
  <si>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</si>
  <si>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</si>
  <si>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</si>
  <si>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</si>
  <si>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</si>
  <si>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</si>
  <si>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</si>
  <si>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</si>
  <si>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</si>
  <si>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</si>
  <si>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</si>
  <si>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</si>
  <si>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</si>
  <si>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</si>
  <si>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</si>
  <si>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</si>
  <si>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</si>
  <si>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</si>
  <si>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</si>
  <si>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</si>
  <si>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</si>
  <si>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</si>
  <si>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</si>
  <si>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</si>
  <si>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</si>
  <si>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</si>
  <si>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</si>
  <si>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</si>
  <si>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</si>
  <si>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</si>
  <si>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</si>
  <si>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</si>
  <si>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</si>
  <si>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</si>
  <si>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</si>
  <si>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</si>
  <si>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</si>
  <si>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</si>
  <si>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</si>
  <si>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</si>
  <si>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</si>
  <si>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</si>
  <si>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</si>
  <si>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</si>
  <si>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</si>
  <si>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</si>
  <si>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</si>
  <si>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</si>
  <si>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</si>
  <si>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</si>
  <si>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</si>
  <si>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</si>
  <si>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</si>
  <si>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</si>
  <si>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</si>
  <si>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</si>
  <si>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</si>
  <si>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</si>
  <si>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</si>
  <si>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</si>
  <si>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</si>
  <si>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</si>
  <si>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</si>
  <si>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</si>
  <si>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</si>
  <si>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</si>
  <si>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</si>
  <si>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</si>
  <si>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</si>
  <si>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</si>
  <si>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</si>
  <si>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</si>
  <si>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</si>
  <si>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</si>
  <si>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</si>
  <si>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</si>
  <si>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</si>
  <si>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</si>
  <si>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</si>
  <si>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</si>
  <si>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</si>
  <si>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</si>
  <si>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</si>
  <si>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</si>
  <si>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</si>
  <si>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</si>
  <si>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</si>
  <si>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</si>
  <si>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</si>
  <si>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CRP Monterey LP</t>
  </si>
  <si>
    <t>8955 Monterey Apartments</t>
  </si>
  <si>
    <t>City of Gilroy, Housing and Community Development Department</t>
  </si>
  <si>
    <t>Ms.Marilyn L. Roaf</t>
  </si>
  <si>
    <t>7351 Rosanna St</t>
  </si>
  <si>
    <t>HCD Coordinator</t>
  </si>
  <si>
    <t>Gilroy</t>
  </si>
  <si>
    <t>408-846-0290</t>
  </si>
  <si>
    <t>408-846-0429</t>
  </si>
  <si>
    <t>mroaf@ci.gilroy.ca.us</t>
  </si>
  <si>
    <t>Re-Application</t>
  </si>
  <si>
    <t>8955 Monterey Rd</t>
  </si>
  <si>
    <t>790-14-025</t>
  </si>
  <si>
    <t>40%/60% Average Income</t>
  </si>
  <si>
    <t>122 E 42nd Street, Suite 1903</t>
  </si>
  <si>
    <t>New York</t>
  </si>
  <si>
    <t>NY</t>
  </si>
  <si>
    <t>Paul Salib</t>
  </si>
  <si>
    <t>212-776-1914</t>
  </si>
  <si>
    <t>psalib@crpaffordable.com</t>
  </si>
  <si>
    <t>Community Revitalization and Development Corporation &amp; CRP Affordable Housing and Community Development LLC.</t>
  </si>
  <si>
    <t>Community Revitalization and Development Corporation</t>
  </si>
  <si>
    <t>Managing GP</t>
  </si>
  <si>
    <t>1918 West Street</t>
  </si>
  <si>
    <t>Redding</t>
  </si>
  <si>
    <t>CA</t>
  </si>
  <si>
    <t>David Rutledge</t>
  </si>
  <si>
    <t>530.241.6960</t>
  </si>
  <si>
    <t>david@crdc.org</t>
  </si>
  <si>
    <t>CRP Monterey AGP LLC</t>
  </si>
  <si>
    <t>Administrative GP</t>
  </si>
  <si>
    <t>CRP Affordable Housing and Community Development LLC</t>
  </si>
  <si>
    <t>Gregory Nestler</t>
  </si>
  <si>
    <t>646-545-6771</t>
  </si>
  <si>
    <t>gnestler@crpaffordable.com</t>
  </si>
  <si>
    <t>Developer</t>
  </si>
  <si>
    <t>New York, NY 10168</t>
  </si>
  <si>
    <t>Aura Architecture Inc.</t>
  </si>
  <si>
    <t xml:space="preserve">434 N Main Suite 207 </t>
  </si>
  <si>
    <t>Corona, CA 92878</t>
  </si>
  <si>
    <t>Garrett Bascom</t>
  </si>
  <si>
    <t>909-206-9177</t>
  </si>
  <si>
    <t>gbascom@crpaffordable.com</t>
  </si>
  <si>
    <t>Hobson Bernardino + Davis LLP</t>
  </si>
  <si>
    <t>6060 Center Drive, Floor 10</t>
  </si>
  <si>
    <t>Los Angeles, CA 90045</t>
  </si>
  <si>
    <t>Jason Hobson</t>
  </si>
  <si>
    <t>213-235-9191</t>
  </si>
  <si>
    <t>jhobson@hbdlegal.com</t>
  </si>
  <si>
    <t>Ironcore Construction LLC</t>
  </si>
  <si>
    <t xml:space="preserve">4429 Morena Boulevard, Suite A	</t>
  </si>
  <si>
    <t>San Diego, CA 92127</t>
  </si>
  <si>
    <t>Thomas A. Hodgin</t>
  </si>
  <si>
    <t>(619) 378-7878</t>
  </si>
  <si>
    <t>thodgin@ironcorecc.com</t>
  </si>
  <si>
    <t>Novogradac &amp; Company LLP</t>
  </si>
  <si>
    <t>1300 114th Avenue SE, Suite 240</t>
  </si>
  <si>
    <t>Bellevue, WA 98004</t>
  </si>
  <si>
    <t>Thomas Stagg</t>
  </si>
  <si>
    <t>425-453-5783</t>
  </si>
  <si>
    <t>thomas.stagg@novoco.com</t>
  </si>
  <si>
    <t>Partner Energy</t>
  </si>
  <si>
    <t>980 Knox St. Suite 150</t>
  </si>
  <si>
    <t>Los Angeles, Ca 90502</t>
  </si>
  <si>
    <t>Kelsey Shaw</t>
  </si>
  <si>
    <t>310-356-2199</t>
  </si>
  <si>
    <t>kshaw@ptrenergy.com</t>
  </si>
  <si>
    <t>Novogradac Consulting LLP</t>
  </si>
  <si>
    <t>6700 Antioch Rd #450</t>
  </si>
  <si>
    <t>Merriam, Kansas 66204</t>
  </si>
  <si>
    <t>515-519-1234</t>
  </si>
  <si>
    <t>U.S. Bancorp</t>
  </si>
  <si>
    <t>1307 Washington Ave, Suite 300</t>
  </si>
  <si>
    <t>St. Louis, MO 63103</t>
  </si>
  <si>
    <t>Sebastian Glowacki</t>
  </si>
  <si>
    <t>303-349-4132</t>
  </si>
  <si>
    <t>sebastian.glowacki@usbank.com</t>
  </si>
  <si>
    <t>Kinetic Valuation Group</t>
  </si>
  <si>
    <t>3901 S 147th Street, Suite 144</t>
  </si>
  <si>
    <t>Omaha, NE 68144</t>
  </si>
  <si>
    <t>Jay A. Wortmann</t>
  </si>
  <si>
    <t>402-202-0771</t>
  </si>
  <si>
    <t>jay@kvgteam.com</t>
  </si>
  <si>
    <t>California Housing Finance Authority</t>
  </si>
  <si>
    <t>500 Capitol Mall, Ste. 1400</t>
  </si>
  <si>
    <t>Sacramento, CA 95814</t>
  </si>
  <si>
    <t>Kevin Brown</t>
  </si>
  <si>
    <t>916-326-8808</t>
  </si>
  <si>
    <t>KBrown@CalHFA.ca.gov</t>
  </si>
  <si>
    <t>Buckingham Property Management</t>
  </si>
  <si>
    <t>601 Pollasky Ave. Suite 201</t>
  </si>
  <si>
    <t>Clovis, CA 93612</t>
  </si>
  <si>
    <t>Rosemary Lynch</t>
  </si>
  <si>
    <t>(559) 452-8250</t>
  </si>
  <si>
    <t>rlynch@buckinghampm.com</t>
  </si>
  <si>
    <t>Joel Hammer</t>
  </si>
  <si>
    <t>CRP 8955 Monterey LLC</t>
  </si>
  <si>
    <t>122 E 42nd Street, Suite 1903, NY</t>
  </si>
  <si>
    <t>Authorised Signatory</t>
  </si>
  <si>
    <t xml:space="preserve"> 5 stories of type-IIIA building over one story of type-IA substructure.
 </t>
  </si>
  <si>
    <t>Other (Specify below)</t>
  </si>
  <si>
    <t>High Density Residential - identified as a By-right Housing Element site by the city of Gilroy</t>
  </si>
  <si>
    <t>R4 High Density Residential District - 30 units/acre</t>
  </si>
  <si>
    <t>R4 High Density Residential District - 56.5 units/acre</t>
  </si>
  <si>
    <t>75' or 6 stories</t>
  </si>
  <si>
    <t>Deferred Costs</t>
  </si>
  <si>
    <t>300 South Grand  Avenue</t>
  </si>
  <si>
    <t>Los Angeles CA 90071</t>
  </si>
  <si>
    <t>Hao Li</t>
  </si>
  <si>
    <t>213-239-1914</t>
  </si>
  <si>
    <t>Loan, Tax Exempt</t>
  </si>
  <si>
    <t>Loan, Recycled Tax Exempt</t>
  </si>
  <si>
    <t>Private</t>
  </si>
  <si>
    <t>1114 Avenue of Americas</t>
  </si>
  <si>
    <t>New York NY 10036</t>
  </si>
  <si>
    <t>Steve Wydler</t>
  </si>
  <si>
    <t>310-315-5566</t>
  </si>
  <si>
    <t>4429 Morena Blvd Suite A</t>
  </si>
  <si>
    <t>San Diego, CA 92117</t>
  </si>
  <si>
    <t>SafeHold Inc.</t>
  </si>
  <si>
    <t>Secured by Leasehold Interest</t>
  </si>
  <si>
    <t>Variable</t>
  </si>
  <si>
    <t>App. Fees, Late, etc.</t>
  </si>
  <si>
    <t>Santa Clara County Housing Authority</t>
  </si>
  <si>
    <t>LIHTC</t>
  </si>
  <si>
    <t>State Tax- Exempt Recylced Bonds</t>
  </si>
  <si>
    <t>Construction Monitoring+B-Bond Interest During Construction+Bond Holder Interest TE+Bond Holder Interest Taxable+Bond Underwriter/Investment Banking Fee+Other Bond Fees</t>
  </si>
  <si>
    <t>Leagl for Perm Loan+B-Bond Underwriter</t>
  </si>
  <si>
    <t>Relocation Cost+CDLAC Fees</t>
  </si>
  <si>
    <t>Misc Third Party Fees</t>
  </si>
  <si>
    <t>Predevelopment Loan Interest</t>
  </si>
  <si>
    <t>Above residual receipts line for cash flow</t>
  </si>
  <si>
    <t>Office expenses, Meetings, Bad Debts</t>
  </si>
  <si>
    <t>Health insurance + payroll taxes + workers comp</t>
  </si>
  <si>
    <t xml:space="preserve">Maintenance Contracts and Supplies </t>
  </si>
  <si>
    <t>1.5 Stall per 1BR, 1.5 Stall per 2BR and 2 Stall per 3BR</t>
  </si>
  <si>
    <t>Below residual receipts line for cash flow</t>
  </si>
  <si>
    <t>Monterey &amp; Ronan Stop ID: 63360</t>
  </si>
  <si>
    <t>Gilroy, CA 95020</t>
  </si>
  <si>
    <t>VTA Customer Service</t>
  </si>
  <si>
    <t>408-321-2300</t>
  </si>
  <si>
    <t xml:space="preserve">https://www.vta.org/go/routes/68?day_of_travel=2&amp;schedule_time=1787679780 </t>
  </si>
  <si>
    <t xml:space="preserve">Mantelli Dr, </t>
  </si>
  <si>
    <t>Las Animas Park</t>
  </si>
  <si>
    <t>Gilroy Recreation Division</t>
  </si>
  <si>
    <t>408-846-0460.</t>
  </si>
  <si>
    <t xml:space="preserve">https://www.cityofgilroy.org/Facilities/Facility/Details/Las-Animas-Veterans-Park-11 </t>
  </si>
  <si>
    <t>905 1st St,</t>
  </si>
  <si>
    <t>Store Management</t>
  </si>
  <si>
    <t>408-842-6446</t>
  </si>
  <si>
    <t xml:space="preserve">https://local.safeway.com/safeway/ca/gilroy/905-first-st.html </t>
  </si>
  <si>
    <t>Safeway Grocery</t>
  </si>
  <si>
    <t>Gilroy Adult Education</t>
  </si>
  <si>
    <t xml:space="preserve">9300 Wren Ave, </t>
  </si>
  <si>
    <t>Sylvia Gonzalez</t>
  </si>
  <si>
    <t>(669) 205 5290</t>
  </si>
  <si>
    <t xml:space="preserve">https://www.gilroyunified.org/enrollment-registration/adult-education </t>
  </si>
  <si>
    <t>Gilroy Neighborhood Health Clinic</t>
  </si>
  <si>
    <t>Clinics Administration</t>
  </si>
  <si>
    <t>408-842-1017</t>
  </si>
  <si>
    <t xml:space="preserve">https://www.schoolhealthclinics.org/ </t>
  </si>
  <si>
    <t>Lender Legal+Safehold</t>
  </si>
  <si>
    <t>Provided</t>
  </si>
  <si>
    <t>Not Applicable</t>
  </si>
  <si>
    <t>CitiBank</t>
  </si>
  <si>
    <t>Stifel, Nicolaus and Company</t>
  </si>
  <si>
    <t>US Bancorp</t>
  </si>
  <si>
    <t>Safehold Inc.</t>
  </si>
  <si>
    <t>1401 Lawrence Street, Suite 900</t>
  </si>
  <si>
    <t>Denver, CO  80202</t>
  </si>
  <si>
    <t>Brad Edgar</t>
  </si>
  <si>
    <t>720-300-7589</t>
  </si>
  <si>
    <t>Equity</t>
  </si>
  <si>
    <t>1 month SOFR</t>
  </si>
  <si>
    <t>Short-Term Bond Reinvestment</t>
  </si>
  <si>
    <t xml:space="preserve">Short-Term Bond Reinvestment Proceeds </t>
  </si>
  <si>
    <t>Short-Term Bond Reinvestment Proceeds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</si>
</sst>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
      <u/>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18912">
    <xf numFmtId="0" fontId="0" fillId="0" borderId="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4"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7" borderId="0" applyNumberFormat="0" applyBorder="0" applyAlignment="0" applyProtection="0"/>
    <xf numFmtId="0" fontId="87" fillId="28" borderId="0" applyNumberFormat="0" applyBorder="0" applyAlignment="0" applyProtection="0"/>
    <xf numFmtId="0" fontId="87" fillId="28" borderId="0" applyNumberFormat="0" applyBorder="0" applyAlignment="0" applyProtection="0"/>
    <xf numFmtId="0" fontId="87" fillId="29" borderId="0" applyNumberFormat="0" applyBorder="0" applyAlignment="0" applyProtection="0"/>
    <xf numFmtId="0" fontId="87" fillId="29"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1" borderId="0" applyNumberFormat="0" applyBorder="0" applyAlignment="0" applyProtection="0"/>
    <xf numFmtId="0" fontId="87" fillId="31"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3" borderId="0" applyNumberFormat="0" applyBorder="0" applyAlignment="0" applyProtection="0"/>
    <xf numFmtId="0" fontId="87" fillId="34" borderId="0" applyNumberFormat="0" applyBorder="0" applyAlignment="0" applyProtection="0"/>
    <xf numFmtId="0" fontId="88" fillId="35" borderId="0" applyNumberFormat="0" applyBorder="0" applyAlignment="0" applyProtection="0"/>
    <xf numFmtId="0" fontId="88" fillId="35" borderId="0" applyNumberFormat="0" applyBorder="0" applyAlignment="0" applyProtection="0"/>
    <xf numFmtId="0" fontId="89" fillId="36" borderId="18" applyNumberFormat="0" applyAlignment="0" applyProtection="0"/>
    <xf numFmtId="0" fontId="89" fillId="36" borderId="18" applyNumberFormat="0" applyAlignment="0" applyProtection="0"/>
    <xf numFmtId="0" fontId="90" fillId="37" borderId="19" applyNumberFormat="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78"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63" fillId="0" borderId="0" applyFont="0" applyFill="0" applyBorder="0" applyAlignment="0" applyProtection="0"/>
    <xf numFmtId="43" fontId="28" fillId="0" borderId="0" applyFont="0" applyFill="0" applyBorder="0" applyAlignment="0" applyProtection="0"/>
    <xf numFmtId="43" fontId="63" fillId="0" borderId="0" applyFont="0" applyFill="0" applyBorder="0" applyAlignment="0" applyProtection="0"/>
    <xf numFmtId="44" fontId="79"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79" fillId="0" borderId="0" applyFont="0" applyFill="0" applyBorder="0" applyAlignment="0" applyProtection="0"/>
    <xf numFmtId="44" fontId="28" fillId="0" borderId="0" applyFont="0" applyFill="0" applyBorder="0" applyAlignment="0" applyProtection="0"/>
    <xf numFmtId="44" fontId="81"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alignment vertical="top"/>
    </xf>
    <xf numFmtId="44" fontId="63" fillId="0" borderId="0" applyFont="0" applyFill="0" applyBorder="0" applyAlignment="0" applyProtection="0">
      <alignment vertical="top"/>
    </xf>
    <xf numFmtId="44" fontId="28" fillId="0" borderId="0" applyFont="0" applyFill="0" applyBorder="0" applyAlignment="0" applyProtection="0"/>
    <xf numFmtId="44" fontId="63" fillId="0" borderId="0" applyFont="0" applyFill="0" applyBorder="0" applyAlignment="0" applyProtection="0">
      <alignment vertical="top"/>
    </xf>
    <xf numFmtId="44" fontId="63" fillId="0" borderId="0" applyFont="0" applyFill="0" applyBorder="0" applyAlignment="0" applyProtection="0"/>
    <xf numFmtId="44" fontId="7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63" fillId="0" borderId="0" applyFont="0" applyFill="0" applyBorder="0" applyAlignment="0" applyProtection="0"/>
    <xf numFmtId="44" fontId="7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28" fillId="0" borderId="0" applyFont="0" applyFill="0" applyBorder="0" applyAlignment="0" applyProtection="0"/>
    <xf numFmtId="44" fontId="73" fillId="0" borderId="0" applyFont="0" applyFill="0" applyBorder="0" applyAlignment="0" applyProtection="0"/>
    <xf numFmtId="44" fontId="28" fillId="0" borderId="0" applyFont="0" applyFill="0" applyBorder="0" applyAlignment="0" applyProtection="0"/>
    <xf numFmtId="44" fontId="7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2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7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2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28" fillId="0" borderId="0" applyFont="0" applyFill="0" applyBorder="0" applyAlignment="0" applyProtection="0"/>
    <xf numFmtId="44" fontId="7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77" fillId="0" borderId="0" applyFont="0" applyFill="0" applyBorder="0" applyAlignment="0" applyProtection="0"/>
    <xf numFmtId="44" fontId="28" fillId="0" borderId="0" applyFont="0" applyFill="0" applyBorder="0" applyAlignment="0" applyProtection="0"/>
    <xf numFmtId="0" fontId="91" fillId="0" borderId="0" applyNumberFormat="0" applyFill="0" applyBorder="0" applyAlignment="0" applyProtection="0"/>
    <xf numFmtId="0" fontId="92" fillId="38" borderId="0" applyNumberFormat="0" applyBorder="0" applyAlignment="0" applyProtection="0"/>
    <xf numFmtId="0" fontId="93" fillId="0" borderId="20" applyNumberFormat="0" applyFill="0" applyAlignment="0" applyProtection="0"/>
    <xf numFmtId="0" fontId="93" fillId="0" borderId="20" applyNumberFormat="0" applyFill="0" applyAlignment="0" applyProtection="0"/>
    <xf numFmtId="0" fontId="94" fillId="0" borderId="21" applyNumberFormat="0" applyFill="0" applyAlignment="0" applyProtection="0"/>
    <xf numFmtId="0" fontId="94" fillId="0" borderId="21" applyNumberFormat="0" applyFill="0" applyAlignment="0" applyProtection="0"/>
    <xf numFmtId="0" fontId="95" fillId="0" borderId="22" applyNumberFormat="0" applyFill="0" applyAlignment="0" applyProtection="0"/>
    <xf numFmtId="0" fontId="95" fillId="0" borderId="22"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83" fillId="0" borderId="0" applyNumberFormat="0" applyFill="0" applyBorder="0" applyAlignment="0" applyProtection="0">
      <alignment vertical="top"/>
      <protection locked="0"/>
    </xf>
    <xf numFmtId="0" fontId="96" fillId="39" borderId="18" applyNumberFormat="0" applyAlignment="0" applyProtection="0"/>
    <xf numFmtId="0" fontId="21" fillId="0" borderId="0" applyNumberFormat="0" applyBorder="0"/>
    <xf numFmtId="0" fontId="22" fillId="0" borderId="0" applyBorder="0" applyAlignment="0"/>
    <xf numFmtId="0" fontId="23" fillId="0" borderId="0" applyFill="0" applyBorder="0" applyAlignment="0"/>
    <xf numFmtId="0" fontId="97" fillId="0" borderId="23" applyNumberFormat="0" applyFill="0" applyAlignment="0" applyProtection="0"/>
    <xf numFmtId="0" fontId="98" fillId="40" borderId="0" applyNumberFormat="0" applyBorder="0" applyAlignment="0" applyProtection="0"/>
    <xf numFmtId="0" fontId="99" fillId="0" borderId="0"/>
    <xf numFmtId="0" fontId="63" fillId="0" borderId="0"/>
    <xf numFmtId="0" fontId="99" fillId="0" borderId="0"/>
    <xf numFmtId="0" fontId="63" fillId="0" borderId="0"/>
    <xf numFmtId="0" fontId="63"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100" fillId="0" borderId="0"/>
    <xf numFmtId="0" fontId="63" fillId="0" borderId="0"/>
    <xf numFmtId="169" fontId="64" fillId="0" borderId="0"/>
    <xf numFmtId="0" fontId="86" fillId="0" borderId="0"/>
    <xf numFmtId="0" fontId="28" fillId="0" borderId="0"/>
    <xf numFmtId="0" fontId="28" fillId="0" borderId="0"/>
    <xf numFmtId="0" fontId="69" fillId="0" borderId="0"/>
    <xf numFmtId="0" fontId="63" fillId="0" borderId="0"/>
    <xf numFmtId="0" fontId="69" fillId="0" borderId="0"/>
    <xf numFmtId="0" fontId="63" fillId="0" borderId="0"/>
    <xf numFmtId="0" fontId="75" fillId="0" borderId="0"/>
    <xf numFmtId="0" fontId="63" fillId="0" borderId="0"/>
    <xf numFmtId="0" fontId="86" fillId="0" borderId="0"/>
    <xf numFmtId="0" fontId="63" fillId="0" borderId="0">
      <alignment vertical="top"/>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75" fillId="0" borderId="0"/>
    <xf numFmtId="0" fontId="86" fillId="0" borderId="0"/>
    <xf numFmtId="0" fontId="86" fillId="0" borderId="0"/>
    <xf numFmtId="0" fontId="86" fillId="0" borderId="0"/>
    <xf numFmtId="0" fontId="86" fillId="0" borderId="0"/>
    <xf numFmtId="0" fontId="63" fillId="0" borderId="0">
      <alignment vertical="top"/>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3" fillId="0" borderId="0"/>
    <xf numFmtId="0" fontId="86" fillId="0" borderId="0"/>
    <xf numFmtId="0" fontId="86" fillId="0" borderId="0"/>
    <xf numFmtId="0" fontId="86" fillId="0" borderId="0"/>
    <xf numFmtId="0" fontId="86" fillId="0" borderId="0"/>
    <xf numFmtId="0" fontId="75" fillId="0" borderId="0"/>
    <xf numFmtId="0" fontId="63" fillId="0" borderId="0">
      <alignment vertical="top"/>
    </xf>
    <xf numFmtId="0" fontId="86" fillId="0" borderId="0"/>
    <xf numFmtId="0" fontId="86" fillId="0" borderId="0"/>
    <xf numFmtId="0" fontId="86" fillId="0" borderId="0"/>
    <xf numFmtId="0" fontId="86" fillId="0" borderId="0"/>
    <xf numFmtId="0" fontId="75" fillId="0" borderId="0"/>
    <xf numFmtId="0" fontId="28" fillId="0" borderId="0"/>
    <xf numFmtId="0" fontId="86" fillId="0" borderId="0"/>
    <xf numFmtId="0" fontId="28" fillId="0" borderId="0"/>
    <xf numFmtId="0" fontId="86" fillId="0" borderId="0"/>
    <xf numFmtId="0" fontId="86" fillId="0" borderId="0"/>
    <xf numFmtId="0" fontId="86" fillId="0" borderId="0"/>
    <xf numFmtId="0" fontId="86" fillId="0" borderId="0"/>
    <xf numFmtId="0" fontId="69" fillId="0" borderId="0"/>
    <xf numFmtId="0" fontId="63" fillId="0" borderId="0">
      <alignment vertical="top"/>
    </xf>
    <xf numFmtId="0" fontId="69" fillId="0" borderId="0"/>
    <xf numFmtId="0" fontId="63" fillId="0" borderId="0">
      <alignment vertical="top"/>
    </xf>
    <xf numFmtId="0" fontId="63" fillId="0" borderId="0">
      <alignment vertical="top"/>
    </xf>
    <xf numFmtId="0" fontId="86" fillId="0" borderId="0"/>
    <xf numFmtId="0" fontId="69" fillId="0" borderId="0"/>
    <xf numFmtId="0" fontId="86" fillId="0" borderId="0"/>
    <xf numFmtId="0" fontId="63" fillId="0" borderId="0">
      <alignment vertical="top"/>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9"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63" fillId="0" borderId="0">
      <alignment vertical="top"/>
    </xf>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9"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3" fillId="0" borderId="0"/>
    <xf numFmtId="0" fontId="63" fillId="0" borderId="0">
      <alignment vertical="top"/>
    </xf>
    <xf numFmtId="0" fontId="63" fillId="0" borderId="0">
      <alignment vertical="top"/>
    </xf>
    <xf numFmtId="0" fontId="63" fillId="0" borderId="0"/>
    <xf numFmtId="0" fontId="63" fillId="0" borderId="0">
      <alignment vertical="top"/>
    </xf>
    <xf numFmtId="0" fontId="63" fillId="0" borderId="0"/>
    <xf numFmtId="0" fontId="6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19" fillId="0" borderId="0" applyProtection="0">
      <protection locked="0"/>
    </xf>
    <xf numFmtId="0" fontId="28" fillId="0" borderId="0" applyProtection="0">
      <protection locked="0"/>
    </xf>
    <xf numFmtId="0" fontId="28" fillId="0" borderId="0" applyProtection="0">
      <protection locked="0"/>
    </xf>
    <xf numFmtId="0" fontId="64" fillId="0" borderId="0"/>
    <xf numFmtId="0" fontId="19" fillId="0" borderId="0"/>
    <xf numFmtId="0" fontId="78"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78"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101" fillId="36" borderId="25" applyNumberFormat="0" applyAlignment="0" applyProtection="0"/>
    <xf numFmtId="0" fontId="101" fillId="36" borderId="25" applyNumberFormat="0" applyAlignment="0" applyProtection="0"/>
    <xf numFmtId="0" fontId="24" fillId="0" borderId="0" applyNumberFormat="0" applyFill="0" applyBorder="0">
      <alignment horizontal="left"/>
    </xf>
    <xf numFmtId="0" fontId="102" fillId="0" borderId="0" applyNumberFormat="0" applyFill="0" applyBorder="0" applyAlignment="0" applyProtection="0"/>
    <xf numFmtId="0" fontId="103" fillId="0" borderId="26" applyNumberFormat="0" applyFill="0" applyAlignment="0" applyProtection="0"/>
    <xf numFmtId="0" fontId="103" fillId="0" borderId="26" applyNumberFormat="0" applyFill="0" applyAlignment="0" applyProtection="0"/>
    <xf numFmtId="0" fontId="104" fillId="0" borderId="0" applyNumberFormat="0" applyFill="0" applyBorder="0" applyAlignment="0" applyProtection="0"/>
    <xf numFmtId="0" fontId="19" fillId="0" borderId="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9" fontId="19" fillId="0" borderId="0" applyFont="0" applyFill="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9"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4" fontId="111"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112" fillId="0" borderId="0" applyNumberForma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02" fillId="0" borderId="0" applyNumberFormat="0" applyFill="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44" fontId="19" fillId="0" borderId="0" applyFont="0" applyFill="0" applyBorder="0" applyAlignment="0" applyProtection="0"/>
    <xf numFmtId="9" fontId="121" fillId="0" borderId="0" applyFont="0" applyFill="0" applyBorder="0" applyAlignment="0" applyProtection="0"/>
    <xf numFmtId="0" fontId="121" fillId="0" borderId="0"/>
    <xf numFmtId="0" fontId="13" fillId="0" borderId="0"/>
    <xf numFmtId="0" fontId="19" fillId="0" borderId="0"/>
    <xf numFmtId="43" fontId="13" fillId="0" borderId="0" applyFont="0" applyFill="0" applyBorder="0" applyAlignment="0" applyProtection="0"/>
    <xf numFmtId="9" fontId="13"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43" fontId="148" fillId="0" borderId="0" applyFont="0" applyFill="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4" fontId="150"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0" fontId="5" fillId="0" borderId="0"/>
    <xf numFmtId="0" fontId="19" fillId="0" borderId="0" applyBorder="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188"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63" fillId="0" borderId="0">
      <alignment vertical="top"/>
    </xf>
    <xf numFmtId="0" fontId="63" fillId="0" borderId="0">
      <alignment vertical="top"/>
    </xf>
    <xf numFmtId="0" fontId="2" fillId="0" borderId="0"/>
    <xf numFmtId="0" fontId="2" fillId="0" borderId="0"/>
    <xf numFmtId="0" fontId="63" fillId="0" borderId="0">
      <alignment vertical="top"/>
    </xf>
    <xf numFmtId="0" fontId="189" fillId="0" borderId="0">
      <alignment vertical="top"/>
    </xf>
    <xf numFmtId="0" fontId="63" fillId="0" borderId="0">
      <alignment vertical="top"/>
    </xf>
    <xf numFmtId="0" fontId="63" fillId="0" borderId="0">
      <alignment vertical="top"/>
    </xf>
    <xf numFmtId="0" fontId="189"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43" fontId="78" fillId="0" borderId="0" applyFont="0" applyFill="0" applyBorder="0" applyAlignment="0" applyProtection="0"/>
    <xf numFmtId="0" fontId="2" fillId="16" borderId="0" applyNumberFormat="0" applyBorder="0" applyAlignment="0" applyProtection="0"/>
    <xf numFmtId="0" fontId="2" fillId="22" borderId="0" applyNumberFormat="0" applyBorder="0" applyAlignment="0" applyProtection="0"/>
    <xf numFmtId="43" fontId="7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7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63" fillId="0" borderId="0">
      <alignment vertical="top"/>
    </xf>
    <xf numFmtId="0" fontId="63" fillId="0" borderId="0">
      <alignment vertical="top"/>
    </xf>
    <xf numFmtId="43"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0" fontId="100" fillId="0" borderId="0"/>
    <xf numFmtId="0" fontId="78" fillId="41" borderId="24" applyNumberFormat="0" applyFont="0" applyAlignment="0" applyProtection="0"/>
    <xf numFmtId="0" fontId="78" fillId="41" borderId="24" applyNumberFormat="0" applyFont="0" applyAlignment="0" applyProtection="0"/>
    <xf numFmtId="43" fontId="19" fillId="0" borderId="0" applyFont="0" applyFill="0" applyBorder="0" applyAlignment="0" applyProtection="0"/>
    <xf numFmtId="0" fontId="19"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9" fillId="0" borderId="0"/>
    <xf numFmtId="0" fontId="19" fillId="0" borderId="0"/>
    <xf numFmtId="0" fontId="19" fillId="0" borderId="0"/>
    <xf numFmtId="0" fontId="2" fillId="0" borderId="0"/>
    <xf numFmtId="0" fontId="2" fillId="0" borderId="0"/>
    <xf numFmtId="0" fontId="2" fillId="0" borderId="0"/>
    <xf numFmtId="0" fontId="2" fillId="0" borderId="0"/>
    <xf numFmtId="0" fontId="19" fillId="0" borderId="0"/>
    <xf numFmtId="0" fontId="2" fillId="41" borderId="24" applyNumberFormat="0" applyFont="0" applyAlignment="0" applyProtection="0"/>
    <xf numFmtId="0" fontId="2" fillId="41" borderId="24" applyNumberFormat="0" applyFont="0" applyAlignment="0" applyProtection="0"/>
    <xf numFmtId="169" fontId="190"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cellStyleXfs>
  <cellXfs count="2706">
    <xf numFmtId="0" fontId="0" fillId="0" borderId="0" xfId="0"/>
    <xf numFmtId="0" fontId="0" fillId="0" borderId="0" xfId="0" applyAlignment="1">
      <alignment horizontal="center"/>
    </xf>
    <xf numFmtId="0" fontId="26" fillId="0" borderId="0" xfId="0" applyFont="1"/>
    <xf numFmtId="0" fontId="19" fillId="0" borderId="0" xfId="0" applyFont="1"/>
    <xf numFmtId="0" fontId="28" fillId="0" borderId="0" xfId="0" applyFont="1"/>
    <xf numFmtId="0" fontId="0" fillId="0" borderId="4" xfId="0" applyBorder="1"/>
    <xf numFmtId="0" fontId="28" fillId="0" borderId="0" xfId="0" applyFont="1" applyAlignment="1">
      <alignment horizontal="center"/>
    </xf>
    <xf numFmtId="0" fontId="19"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6" fillId="0" borderId="4" xfId="0" applyFont="1" applyBorder="1"/>
    <xf numFmtId="164" fontId="0" fillId="0" borderId="0" xfId="0" applyNumberFormat="1" applyAlignment="1">
      <alignment horizontal="right"/>
    </xf>
    <xf numFmtId="0" fontId="26" fillId="0" borderId="0" xfId="0" applyFont="1" applyAlignment="1">
      <alignment horizontal="center"/>
    </xf>
    <xf numFmtId="0" fontId="19" fillId="0" borderId="0" xfId="543"/>
    <xf numFmtId="0" fontId="28" fillId="0" borderId="0" xfId="0" applyFont="1" applyAlignment="1">
      <alignment horizontal="left" vertical="top" wrapText="1"/>
    </xf>
    <xf numFmtId="0" fontId="34" fillId="0" borderId="0" xfId="0" applyFont="1"/>
    <xf numFmtId="0" fontId="27" fillId="0" borderId="0" xfId="0" applyFont="1" applyAlignment="1">
      <alignment vertical="top"/>
    </xf>
    <xf numFmtId="0" fontId="27" fillId="0" borderId="0" xfId="0" applyFont="1" applyAlignment="1">
      <alignment vertical="top" wrapText="1"/>
    </xf>
    <xf numFmtId="0" fontId="28" fillId="0" borderId="0" xfId="0" applyFont="1" applyAlignment="1">
      <alignment horizontal="left" indent="4"/>
    </xf>
    <xf numFmtId="0" fontId="27" fillId="0" borderId="0" xfId="0" applyFont="1" applyAlignment="1">
      <alignment horizontal="left" vertical="top"/>
    </xf>
    <xf numFmtId="0" fontId="27" fillId="0" borderId="0" xfId="0" applyFont="1" applyAlignment="1">
      <alignment horizontal="left"/>
    </xf>
    <xf numFmtId="0" fontId="27" fillId="0" borderId="0" xfId="0" applyFont="1"/>
    <xf numFmtId="0" fontId="39" fillId="0" borderId="0" xfId="543" applyFont="1"/>
    <xf numFmtId="1" fontId="27" fillId="0" borderId="0" xfId="0" applyNumberFormat="1" applyFont="1" applyAlignment="1">
      <alignment horizontal="left"/>
    </xf>
    <xf numFmtId="0" fontId="29" fillId="0" borderId="0" xfId="0" applyFont="1"/>
    <xf numFmtId="1" fontId="27" fillId="0" borderId="0" xfId="0" applyNumberFormat="1" applyFont="1" applyAlignment="1">
      <alignment horizontal="right"/>
    </xf>
    <xf numFmtId="0" fontId="0" fillId="0" borderId="0" xfId="0" applyAlignment="1">
      <alignment horizontal="right"/>
    </xf>
    <xf numFmtId="0" fontId="38" fillId="0" borderId="0" xfId="0" applyFont="1"/>
    <xf numFmtId="0" fontId="31" fillId="0" borderId="0" xfId="0" applyFont="1"/>
    <xf numFmtId="172" fontId="19" fillId="0" borderId="0" xfId="543" applyNumberFormat="1"/>
    <xf numFmtId="9" fontId="19" fillId="0" borderId="0" xfId="543" applyNumberFormat="1" applyAlignment="1">
      <alignment horizontal="left"/>
    </xf>
    <xf numFmtId="168" fontId="19" fillId="0" borderId="0" xfId="543" applyNumberFormat="1"/>
    <xf numFmtId="0" fontId="28" fillId="0" borderId="0" xfId="0" applyFont="1" applyAlignment="1">
      <alignment horizontal="right"/>
    </xf>
    <xf numFmtId="0" fontId="42" fillId="0" borderId="0" xfId="0" applyFont="1"/>
    <xf numFmtId="0" fontId="28" fillId="0" borderId="0" xfId="0" applyFont="1" applyAlignment="1">
      <alignment horizontal="left"/>
    </xf>
    <xf numFmtId="0" fontId="30" fillId="0" borderId="0" xfId="0" applyFont="1"/>
    <xf numFmtId="0" fontId="32" fillId="0" borderId="0" xfId="0" applyFont="1"/>
    <xf numFmtId="0" fontId="26"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6" fillId="0" borderId="1" xfId="0" applyFont="1" applyBorder="1" applyAlignment="1">
      <alignment horizontal="center" wrapText="1"/>
    </xf>
    <xf numFmtId="0" fontId="26"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6" fillId="0" borderId="4" xfId="0" applyFont="1" applyBorder="1" applyAlignment="1">
      <alignment horizontal="center"/>
    </xf>
    <xf numFmtId="0" fontId="35" fillId="0" borderId="3" xfId="0" applyFont="1" applyBorder="1" applyAlignment="1">
      <alignment horizontal="left"/>
    </xf>
    <xf numFmtId="0" fontId="35" fillId="0" borderId="9" xfId="0" applyFont="1" applyBorder="1" applyAlignment="1">
      <alignment horizontal="left"/>
    </xf>
    <xf numFmtId="0" fontId="26" fillId="0" borderId="4" xfId="0" applyFont="1" applyBorder="1" applyAlignment="1">
      <alignment horizontal="right"/>
    </xf>
    <xf numFmtId="0" fontId="26" fillId="0" borderId="5" xfId="0" applyFont="1" applyBorder="1" applyAlignment="1">
      <alignment horizontal="right"/>
    </xf>
    <xf numFmtId="0" fontId="35" fillId="0" borderId="0" xfId="0" applyFont="1" applyAlignment="1">
      <alignment horizontal="left"/>
    </xf>
    <xf numFmtId="0" fontId="26" fillId="0" borderId="0" xfId="0" applyFont="1" applyAlignment="1">
      <alignment horizontal="right"/>
    </xf>
    <xf numFmtId="0" fontId="26"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8" fillId="0" borderId="11" xfId="0" applyFont="1" applyBorder="1" applyAlignment="1">
      <alignment horizontal="left"/>
    </xf>
    <xf numFmtId="0" fontId="26" fillId="0" borderId="9" xfId="0" applyFont="1" applyBorder="1"/>
    <xf numFmtId="164" fontId="0" fillId="0" borderId="0" xfId="0" applyNumberFormat="1" applyAlignment="1">
      <alignment horizontal="center"/>
    </xf>
    <xf numFmtId="0" fontId="0" fillId="0" borderId="12" xfId="0" applyBorder="1"/>
    <xf numFmtId="0" fontId="28" fillId="0" borderId="3" xfId="0" applyFont="1" applyBorder="1"/>
    <xf numFmtId="0" fontId="28" fillId="0" borderId="0" xfId="543" applyFont="1"/>
    <xf numFmtId="0" fontId="44" fillId="0" borderId="0" xfId="543" applyFont="1"/>
    <xf numFmtId="49" fontId="19" fillId="0" borderId="0" xfId="543" applyNumberFormat="1"/>
    <xf numFmtId="0" fontId="42" fillId="0" borderId="0" xfId="543" applyFont="1"/>
    <xf numFmtId="168" fontId="39" fillId="0" borderId="6" xfId="543" applyNumberFormat="1" applyFont="1" applyBorder="1" applyAlignment="1">
      <alignment horizontal="left"/>
    </xf>
    <xf numFmtId="168" fontId="39" fillId="0" borderId="6" xfId="543" applyNumberFormat="1" applyFont="1" applyBorder="1" applyAlignment="1">
      <alignment horizontal="center"/>
    </xf>
    <xf numFmtId="0" fontId="19" fillId="0" borderId="8" xfId="543" applyBorder="1"/>
    <xf numFmtId="0" fontId="39" fillId="0" borderId="0" xfId="543" applyFont="1" applyAlignment="1">
      <alignment horizontal="center"/>
    </xf>
    <xf numFmtId="0" fontId="38" fillId="0" borderId="9" xfId="543" applyFont="1" applyBorder="1" applyAlignment="1">
      <alignment horizontal="left" vertical="top" wrapText="1"/>
    </xf>
    <xf numFmtId="0" fontId="38" fillId="0" borderId="6" xfId="543" applyFont="1" applyBorder="1" applyAlignment="1">
      <alignment horizontal="center" vertical="top" wrapText="1"/>
    </xf>
    <xf numFmtId="0" fontId="19" fillId="0" borderId="9" xfId="543" applyBorder="1"/>
    <xf numFmtId="0" fontId="19" fillId="0" borderId="10" xfId="543" applyBorder="1"/>
    <xf numFmtId="0" fontId="19" fillId="0" borderId="1" xfId="543" applyBorder="1"/>
    <xf numFmtId="0" fontId="39" fillId="0" borderId="2" xfId="543" applyFont="1" applyBorder="1" applyAlignment="1">
      <alignment horizontal="center"/>
    </xf>
    <xf numFmtId="0" fontId="41" fillId="0" borderId="8" xfId="543" applyFont="1" applyBorder="1" applyAlignment="1">
      <alignment horizontal="left" vertical="top" wrapText="1"/>
    </xf>
    <xf numFmtId="0" fontId="38" fillId="0" borderId="0" xfId="543" applyFont="1" applyAlignment="1">
      <alignment horizontal="center" vertical="top" wrapText="1"/>
    </xf>
    <xf numFmtId="0" fontId="19" fillId="0" borderId="12" xfId="543" applyBorder="1"/>
    <xf numFmtId="0" fontId="41" fillId="0" borderId="0" xfId="543" applyFont="1" applyAlignment="1">
      <alignment horizontal="center" vertical="top" wrapText="1"/>
    </xf>
    <xf numFmtId="0" fontId="41" fillId="0" borderId="9" xfId="543" applyFont="1" applyBorder="1" applyAlignment="1">
      <alignment horizontal="left" vertical="top" wrapText="1"/>
    </xf>
    <xf numFmtId="0" fontId="19" fillId="0" borderId="2" xfId="543" applyBorder="1"/>
    <xf numFmtId="0" fontId="19" fillId="0" borderId="7" xfId="543" applyBorder="1"/>
    <xf numFmtId="0" fontId="38" fillId="0" borderId="0" xfId="543" applyFont="1"/>
    <xf numFmtId="0" fontId="19" fillId="0" borderId="0" xfId="543" applyAlignment="1">
      <alignment horizontal="center"/>
    </xf>
    <xf numFmtId="0" fontId="27" fillId="0" borderId="6" xfId="543" applyFont="1" applyBorder="1" applyAlignment="1">
      <alignment vertical="top" wrapText="1"/>
    </xf>
    <xf numFmtId="0" fontId="28" fillId="0" borderId="0" xfId="0" applyFont="1" applyAlignment="1">
      <alignment horizontal="left" vertical="top"/>
    </xf>
    <xf numFmtId="0" fontId="0" fillId="2" borderId="2" xfId="0" applyFill="1" applyBorder="1"/>
    <xf numFmtId="0" fontId="0" fillId="2" borderId="7" xfId="0" applyFill="1" applyBorder="1"/>
    <xf numFmtId="0" fontId="26" fillId="0" borderId="6" xfId="0" applyFont="1" applyBorder="1" applyAlignment="1">
      <alignment horizontal="right"/>
    </xf>
    <xf numFmtId="0" fontId="25" fillId="0" borderId="0" xfId="0" applyFont="1" applyAlignment="1">
      <alignment horizontal="center" vertical="center"/>
    </xf>
    <xf numFmtId="0" fontId="26" fillId="0" borderId="0" xfId="0" applyFont="1" applyAlignment="1">
      <alignment vertical="top"/>
    </xf>
    <xf numFmtId="166" fontId="0" fillId="0" borderId="0" xfId="0" applyNumberFormat="1" applyAlignment="1">
      <alignment horizontal="right"/>
    </xf>
    <xf numFmtId="0" fontId="49" fillId="0" borderId="0" xfId="0" applyFont="1"/>
    <xf numFmtId="0" fontId="36" fillId="0" borderId="0" xfId="0" applyFont="1"/>
    <xf numFmtId="0" fontId="20" fillId="0" borderId="0" xfId="244" applyBorder="1" applyProtection="1"/>
    <xf numFmtId="0" fontId="20" fillId="0" borderId="0" xfId="244" applyFill="1" applyBorder="1" applyAlignment="1">
      <alignment horizontal="center" vertical="center"/>
    </xf>
    <xf numFmtId="0" fontId="19" fillId="0" borderId="3" xfId="543" applyBorder="1"/>
    <xf numFmtId="0" fontId="41" fillId="0" borderId="4" xfId="543" applyFont="1" applyBorder="1" applyAlignment="1">
      <alignment horizontal="right" vertical="top" wrapText="1"/>
    </xf>
    <xf numFmtId="0" fontId="28" fillId="0" borderId="6" xfId="0" applyFont="1" applyBorder="1"/>
    <xf numFmtId="0" fontId="28" fillId="0" borderId="2" xfId="0" applyFont="1" applyBorder="1"/>
    <xf numFmtId="0" fontId="28" fillId="0" borderId="7" xfId="0" applyFont="1" applyBorder="1"/>
    <xf numFmtId="0" fontId="28" fillId="0" borderId="12" xfId="0" applyFont="1" applyBorder="1"/>
    <xf numFmtId="0" fontId="28" fillId="0" borderId="9" xfId="0" applyFont="1" applyBorder="1"/>
    <xf numFmtId="0" fontId="28" fillId="0" borderId="10" xfId="0" applyFont="1" applyBorder="1"/>
    <xf numFmtId="0" fontId="33" fillId="0" borderId="6" xfId="0" applyFont="1" applyBorder="1" applyAlignment="1">
      <alignment vertical="top" wrapText="1"/>
    </xf>
    <xf numFmtId="0" fontId="33" fillId="0" borderId="5" xfId="0" applyFont="1" applyBorder="1" applyAlignment="1">
      <alignment vertical="top" wrapText="1"/>
    </xf>
    <xf numFmtId="0" fontId="33" fillId="0" borderId="4" xfId="0" applyFont="1" applyBorder="1" applyAlignment="1">
      <alignment vertical="top" wrapText="1"/>
    </xf>
    <xf numFmtId="0" fontId="33" fillId="2" borderId="6" xfId="0" applyFont="1" applyFill="1" applyBorder="1" applyAlignment="1">
      <alignment vertical="top" wrapText="1"/>
    </xf>
    <xf numFmtId="0" fontId="0" fillId="0" borderId="8" xfId="0" applyBorder="1"/>
    <xf numFmtId="0" fontId="26" fillId="0" borderId="2" xfId="0" applyFont="1" applyBorder="1"/>
    <xf numFmtId="0" fontId="28" fillId="0" borderId="0" xfId="0" applyFont="1" applyAlignment="1">
      <alignment vertical="top"/>
    </xf>
    <xf numFmtId="0" fontId="28" fillId="0" borderId="0" xfId="0" applyFont="1" applyAlignment="1">
      <alignment vertical="top" wrapText="1"/>
    </xf>
    <xf numFmtId="0" fontId="19" fillId="0" borderId="0" xfId="0" applyFont="1" applyAlignment="1">
      <alignment horizontal="left"/>
    </xf>
    <xf numFmtId="0" fontId="19" fillId="0" borderId="0" xfId="0" applyFont="1" applyAlignment="1">
      <alignment vertical="top"/>
    </xf>
    <xf numFmtId="0" fontId="48" fillId="0" borderId="0" xfId="0" applyFont="1"/>
    <xf numFmtId="0" fontId="19" fillId="0" borderId="3" xfId="0" applyFont="1" applyBorder="1"/>
    <xf numFmtId="0" fontId="19"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3" fillId="3" borderId="4" xfId="0" applyFont="1" applyFill="1" applyBorder="1" applyAlignment="1">
      <alignment vertical="top" wrapText="1"/>
    </xf>
    <xf numFmtId="0" fontId="33" fillId="3" borderId="5" xfId="0" applyFont="1" applyFill="1" applyBorder="1" applyAlignment="1">
      <alignment vertical="top" wrapText="1"/>
    </xf>
    <xf numFmtId="0" fontId="51" fillId="0" borderId="0" xfId="0" applyFont="1"/>
    <xf numFmtId="0" fontId="28" fillId="0" borderId="4" xfId="0" applyFont="1" applyBorder="1"/>
    <xf numFmtId="0" fontId="26" fillId="0" borderId="2" xfId="0" applyFont="1" applyBorder="1" applyAlignment="1">
      <alignment horizontal="center"/>
    </xf>
    <xf numFmtId="0" fontId="26" fillId="0" borderId="0" xfId="0" applyFont="1" applyAlignment="1">
      <alignment horizontal="center" vertical="center" wrapText="1"/>
    </xf>
    <xf numFmtId="0" fontId="26" fillId="0" borderId="7" xfId="543" applyFont="1" applyBorder="1" applyAlignment="1">
      <alignment horizontal="right"/>
    </xf>
    <xf numFmtId="0" fontId="27" fillId="0" borderId="9" xfId="543" applyFont="1" applyBorder="1"/>
    <xf numFmtId="0" fontId="28" fillId="0" borderId="6" xfId="543" applyFont="1" applyBorder="1"/>
    <xf numFmtId="0" fontId="27" fillId="0" borderId="6" xfId="543" applyFont="1" applyBorder="1" applyAlignment="1">
      <alignment horizontal="right"/>
    </xf>
    <xf numFmtId="0" fontId="26" fillId="0" borderId="0" xfId="0" applyFont="1" applyAlignment="1">
      <alignment horizontal="center" vertical="center"/>
    </xf>
    <xf numFmtId="0" fontId="28" fillId="0" borderId="0" xfId="0" applyFont="1" applyAlignment="1">
      <alignment horizontal="left" vertical="center"/>
    </xf>
    <xf numFmtId="0" fontId="56" fillId="0" borderId="3" xfId="0" applyFont="1" applyBorder="1" applyAlignment="1">
      <alignment horizontal="left" vertical="top"/>
    </xf>
    <xf numFmtId="0" fontId="56" fillId="0" borderId="13" xfId="0" applyFont="1" applyBorder="1" applyAlignment="1">
      <alignment horizontal="center" wrapText="1"/>
    </xf>
    <xf numFmtId="0" fontId="56" fillId="0" borderId="13" xfId="0" applyFont="1" applyBorder="1" applyAlignment="1">
      <alignment horizontal="center" vertical="top" wrapText="1"/>
    </xf>
    <xf numFmtId="0" fontId="56" fillId="2" borderId="13" xfId="0" applyFont="1" applyFill="1" applyBorder="1" applyAlignment="1">
      <alignment horizontal="center" wrapText="1"/>
    </xf>
    <xf numFmtId="0" fontId="57" fillId="2" borderId="11" xfId="0" applyFont="1" applyFill="1" applyBorder="1" applyAlignment="1">
      <alignment horizontal="left" vertical="top" wrapText="1"/>
    </xf>
    <xf numFmtId="0" fontId="58" fillId="4" borderId="11" xfId="0" applyFont="1" applyFill="1" applyBorder="1" applyAlignment="1">
      <alignment vertical="top" wrapText="1"/>
    </xf>
    <xf numFmtId="0" fontId="58" fillId="2" borderId="11" xfId="0" applyFont="1" applyFill="1" applyBorder="1" applyAlignment="1">
      <alignment vertical="top" wrapText="1"/>
    </xf>
    <xf numFmtId="0" fontId="58" fillId="0" borderId="11" xfId="0" applyFont="1" applyBorder="1" applyAlignment="1">
      <alignment vertical="top" wrapText="1"/>
    </xf>
    <xf numFmtId="0" fontId="58" fillId="0" borderId="11" xfId="0" applyFont="1" applyBorder="1" applyAlignment="1">
      <alignment horizontal="right" vertical="top" wrapText="1"/>
    </xf>
    <xf numFmtId="168" fontId="58" fillId="0" borderId="11" xfId="0" applyNumberFormat="1" applyFont="1" applyBorder="1" applyAlignment="1">
      <alignment vertical="top" wrapText="1"/>
    </xf>
    <xf numFmtId="168" fontId="58" fillId="5" borderId="11" xfId="0" applyNumberFormat="1" applyFont="1" applyFill="1" applyBorder="1" applyAlignment="1" applyProtection="1">
      <alignment vertical="top" wrapText="1"/>
      <protection locked="0"/>
    </xf>
    <xf numFmtId="168" fontId="58" fillId="6" borderId="11" xfId="0" applyNumberFormat="1" applyFont="1" applyFill="1" applyBorder="1" applyAlignment="1">
      <alignment horizontal="center" vertical="top" wrapText="1"/>
    </xf>
    <xf numFmtId="0" fontId="56" fillId="0" borderId="11" xfId="0" applyFont="1" applyBorder="1" applyAlignment="1">
      <alignment horizontal="right" vertical="top" wrapText="1"/>
    </xf>
    <xf numFmtId="168" fontId="56" fillId="0" borderId="11" xfId="0" applyNumberFormat="1" applyFont="1" applyBorder="1" applyAlignment="1">
      <alignment vertical="top" wrapText="1"/>
    </xf>
    <xf numFmtId="168" fontId="58" fillId="4" borderId="11" xfId="0" applyNumberFormat="1" applyFont="1" applyFill="1" applyBorder="1" applyAlignment="1">
      <alignment vertical="top" wrapText="1"/>
    </xf>
    <xf numFmtId="0" fontId="56" fillId="2" borderId="11" xfId="0" applyFont="1" applyFill="1" applyBorder="1" applyAlignment="1">
      <alignment vertical="top" wrapText="1"/>
    </xf>
    <xf numFmtId="0" fontId="56" fillId="0" borderId="11" xfId="0" applyFont="1" applyBorder="1" applyAlignment="1">
      <alignment vertical="top" wrapText="1"/>
    </xf>
    <xf numFmtId="0" fontId="22" fillId="0" borderId="11" xfId="0" applyFont="1" applyBorder="1" applyAlignment="1">
      <alignment horizontal="right" vertical="top" wrapText="1"/>
    </xf>
    <xf numFmtId="0" fontId="58" fillId="0" borderId="11" xfId="0" applyFont="1" applyBorder="1" applyAlignment="1" applyProtection="1">
      <alignment horizontal="right" vertical="top" wrapText="1"/>
      <protection locked="0"/>
    </xf>
    <xf numFmtId="0" fontId="56" fillId="0" borderId="0" xfId="0" applyFont="1" applyAlignment="1">
      <alignment horizontal="left" vertical="top"/>
    </xf>
    <xf numFmtId="0" fontId="58" fillId="0" borderId="0" xfId="0" applyFont="1" applyAlignment="1">
      <alignment horizontal="left" vertical="top"/>
    </xf>
    <xf numFmtId="0" fontId="58" fillId="0" borderId="0" xfId="0" applyFont="1" applyAlignment="1">
      <alignment vertical="top" wrapText="1"/>
    </xf>
    <xf numFmtId="0" fontId="58" fillId="0" borderId="0" xfId="0" applyFont="1" applyAlignment="1">
      <alignment vertical="top"/>
    </xf>
    <xf numFmtId="0" fontId="56" fillId="0" borderId="0" xfId="0" applyFont="1" applyAlignment="1">
      <alignment horizontal="right" vertical="top"/>
    </xf>
    <xf numFmtId="0" fontId="58" fillId="2" borderId="0" xfId="0" applyFont="1" applyFill="1" applyAlignment="1">
      <alignment vertical="top" wrapText="1"/>
    </xf>
    <xf numFmtId="0" fontId="56" fillId="0" borderId="0" xfId="0" applyFont="1" applyAlignment="1">
      <alignment vertical="top"/>
    </xf>
    <xf numFmtId="166" fontId="28" fillId="0" borderId="0" xfId="0" applyNumberFormat="1" applyFont="1" applyAlignment="1">
      <alignment horizontal="left"/>
    </xf>
    <xf numFmtId="0" fontId="59" fillId="0" borderId="0" xfId="0" applyFont="1"/>
    <xf numFmtId="0" fontId="19" fillId="0" borderId="0" xfId="244" applyFont="1" applyFill="1" applyBorder="1" applyAlignment="1" applyProtection="1">
      <alignment horizontal="left"/>
    </xf>
    <xf numFmtId="0" fontId="50" fillId="0" borderId="0" xfId="0" applyFont="1"/>
    <xf numFmtId="0" fontId="50" fillId="0" borderId="0" xfId="244" applyFont="1" applyFill="1" applyBorder="1" applyAlignment="1" applyProtection="1">
      <alignment horizontal="left"/>
    </xf>
    <xf numFmtId="0" fontId="25" fillId="3" borderId="11" xfId="0" applyFont="1" applyFill="1" applyBorder="1" applyAlignment="1">
      <alignment vertical="top"/>
    </xf>
    <xf numFmtId="0" fontId="0" fillId="7" borderId="0" xfId="0" applyFill="1"/>
    <xf numFmtId="0" fontId="39" fillId="0" borderId="0" xfId="0" applyFont="1"/>
    <xf numFmtId="0" fontId="61" fillId="0" borderId="0" xfId="0" applyFont="1"/>
    <xf numFmtId="0" fontId="37" fillId="0" borderId="0" xfId="0" applyFont="1" applyAlignment="1">
      <alignment horizontal="center"/>
    </xf>
    <xf numFmtId="0" fontId="37" fillId="0" borderId="0" xfId="0" applyFont="1" applyAlignment="1">
      <alignment horizontal="left"/>
    </xf>
    <xf numFmtId="49" fontId="26" fillId="0" borderId="0" xfId="0" applyNumberFormat="1" applyFont="1" applyAlignment="1">
      <alignment horizontal="center"/>
    </xf>
    <xf numFmtId="0" fontId="53" fillId="0" borderId="0" xfId="0" applyFont="1" applyAlignment="1">
      <alignment horizontal="center"/>
    </xf>
    <xf numFmtId="168" fontId="28" fillId="0" borderId="0" xfId="0" applyNumberFormat="1" applyFont="1" applyAlignment="1">
      <alignment horizontal="center"/>
    </xf>
    <xf numFmtId="168" fontId="38" fillId="0" borderId="0" xfId="0" applyNumberFormat="1" applyFont="1" applyAlignment="1">
      <alignment horizontal="left" vertical="top" wrapText="1"/>
    </xf>
    <xf numFmtId="0" fontId="55" fillId="0" borderId="3" xfId="0" applyFont="1" applyBorder="1"/>
    <xf numFmtId="168" fontId="0" fillId="0" borderId="0" xfId="0" applyNumberFormat="1" applyAlignment="1">
      <alignment horizontal="center"/>
    </xf>
    <xf numFmtId="0" fontId="39" fillId="0" borderId="0" xfId="0" applyFont="1" applyAlignment="1">
      <alignment vertical="top" wrapText="1"/>
    </xf>
    <xf numFmtId="0" fontId="56" fillId="0" borderId="4" xfId="0" applyFont="1" applyBorder="1" applyAlignment="1">
      <alignment horizontal="right"/>
    </xf>
    <xf numFmtId="0" fontId="63" fillId="0" borderId="0" xfId="0" applyFont="1"/>
    <xf numFmtId="3" fontId="28" fillId="0" borderId="0" xfId="0" applyNumberFormat="1" applyFont="1" applyAlignment="1">
      <alignment horizontal="center"/>
    </xf>
    <xf numFmtId="168" fontId="19" fillId="0" borderId="0" xfId="0" applyNumberFormat="1" applyFont="1" applyAlignment="1">
      <alignment horizontal="left" vertical="top"/>
    </xf>
    <xf numFmtId="168" fontId="28" fillId="0" borderId="0" xfId="0" applyNumberFormat="1" applyFont="1" applyAlignment="1">
      <alignment horizontal="left" vertical="top"/>
    </xf>
    <xf numFmtId="0" fontId="58" fillId="0" borderId="11" xfId="0" applyFont="1" applyBorder="1" applyAlignment="1">
      <alignment horizontal="right" vertical="top"/>
    </xf>
    <xf numFmtId="0" fontId="58" fillId="0" borderId="0" xfId="0" applyFont="1" applyAlignment="1">
      <alignment horizontal="right" vertical="top" wrapText="1"/>
    </xf>
    <xf numFmtId="0" fontId="58" fillId="2" borderId="12" xfId="0" applyFont="1" applyFill="1" applyBorder="1" applyAlignment="1">
      <alignment vertical="top" wrapText="1"/>
    </xf>
    <xf numFmtId="0" fontId="58" fillId="0" borderId="14" xfId="0" applyFont="1" applyBorder="1" applyAlignment="1">
      <alignment vertical="top" wrapText="1"/>
    </xf>
    <xf numFmtId="168" fontId="58" fillId="5" borderId="11" xfId="0" applyNumberFormat="1" applyFont="1" applyFill="1" applyBorder="1" applyAlignment="1" applyProtection="1">
      <alignment vertical="top"/>
      <protection locked="0"/>
    </xf>
    <xf numFmtId="0" fontId="58" fillId="2" borderId="11" xfId="0" applyFont="1" applyFill="1" applyBorder="1" applyAlignment="1" applyProtection="1">
      <alignment vertical="top"/>
      <protection locked="0"/>
    </xf>
    <xf numFmtId="0" fontId="58" fillId="0" borderId="11" xfId="0" applyFont="1" applyBorder="1" applyAlignment="1" applyProtection="1">
      <alignment vertical="top"/>
      <protection locked="0"/>
    </xf>
    <xf numFmtId="168" fontId="58" fillId="0" borderId="11" xfId="0" applyNumberFormat="1" applyFont="1" applyBorder="1" applyAlignment="1">
      <alignment vertical="top"/>
    </xf>
    <xf numFmtId="168" fontId="58" fillId="6" borderId="11" xfId="0" applyNumberFormat="1" applyFont="1" applyFill="1" applyBorder="1" applyAlignment="1">
      <alignment horizontal="center" vertical="top"/>
    </xf>
    <xf numFmtId="0" fontId="26" fillId="0" borderId="0" xfId="542" applyFont="1" applyProtection="1">
      <protection locked="0"/>
    </xf>
    <xf numFmtId="0" fontId="19" fillId="0" borderId="0" xfId="539" applyProtection="1"/>
    <xf numFmtId="0" fontId="39" fillId="8" borderId="0" xfId="539" applyFont="1" applyFill="1" applyAlignment="1" applyProtection="1">
      <alignment horizontal="centerContinuous"/>
    </xf>
    <xf numFmtId="0" fontId="26" fillId="0" borderId="0" xfId="543" applyFont="1"/>
    <xf numFmtId="0" fontId="28" fillId="0" borderId="0" xfId="543" applyFont="1" applyAlignment="1">
      <alignment horizontal="left"/>
    </xf>
    <xf numFmtId="0" fontId="28" fillId="0" borderId="15" xfId="0" applyFont="1" applyBorder="1"/>
    <xf numFmtId="2" fontId="42" fillId="0" borderId="11" xfId="0" applyNumberFormat="1" applyFont="1" applyBorder="1"/>
    <xf numFmtId="0" fontId="19" fillId="0" borderId="0" xfId="0" applyFont="1" applyProtection="1">
      <protection locked="0"/>
    </xf>
    <xf numFmtId="0" fontId="66" fillId="0" borderId="0" xfId="0" applyFont="1" applyAlignment="1">
      <alignment horizontal="center"/>
    </xf>
    <xf numFmtId="0" fontId="28" fillId="0" borderId="0" xfId="271"/>
    <xf numFmtId="0" fontId="26" fillId="0" borderId="0" xfId="271" applyFont="1"/>
    <xf numFmtId="0" fontId="28" fillId="0" borderId="0" xfId="271" applyAlignment="1">
      <alignment horizontal="left"/>
    </xf>
    <xf numFmtId="168" fontId="26" fillId="0" borderId="2" xfId="543" applyNumberFormat="1" applyFont="1" applyBorder="1" applyAlignment="1">
      <alignment horizontal="center" vertical="center"/>
    </xf>
    <xf numFmtId="0" fontId="41" fillId="0" borderId="0" xfId="543" applyFont="1" applyAlignment="1">
      <alignment horizontal="right" vertical="top" wrapText="1"/>
    </xf>
    <xf numFmtId="0" fontId="39" fillId="0" borderId="2" xfId="543" applyFont="1" applyBorder="1" applyAlignment="1">
      <alignment horizontal="right" vertical="top" wrapText="1"/>
    </xf>
    <xf numFmtId="0" fontId="24" fillId="0" borderId="0" xfId="0" applyFont="1"/>
    <xf numFmtId="0" fontId="68" fillId="0" borderId="0" xfId="0" applyFont="1"/>
    <xf numFmtId="0" fontId="66" fillId="0" borderId="0" xfId="0" applyFont="1"/>
    <xf numFmtId="0" fontId="39"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6" fillId="0" borderId="0" xfId="0" applyNumberFormat="1" applyFont="1" applyAlignment="1">
      <alignment horizontal="center"/>
    </xf>
    <xf numFmtId="3" fontId="28" fillId="0" borderId="0" xfId="0" applyNumberFormat="1" applyFont="1"/>
    <xf numFmtId="0" fontId="67" fillId="0" borderId="0" xfId="0" applyFont="1"/>
    <xf numFmtId="168" fontId="24" fillId="0" borderId="0" xfId="0" applyNumberFormat="1" applyFont="1"/>
    <xf numFmtId="10" fontId="24" fillId="0" borderId="0" xfId="0" applyNumberFormat="1" applyFont="1" applyAlignment="1">
      <alignment horizontal="center"/>
    </xf>
    <xf numFmtId="3" fontId="70" fillId="0" borderId="0" xfId="0" applyNumberFormat="1" applyFont="1"/>
    <xf numFmtId="3" fontId="24" fillId="0" borderId="0" xfId="0" applyNumberFormat="1" applyFont="1"/>
    <xf numFmtId="168" fontId="67" fillId="0" borderId="0" xfId="0" applyNumberFormat="1" applyFont="1"/>
    <xf numFmtId="168" fontId="67" fillId="0" borderId="0" xfId="0" applyNumberFormat="1" applyFont="1" applyAlignment="1">
      <alignment horizontal="center"/>
    </xf>
    <xf numFmtId="0" fontId="24" fillId="5" borderId="0" xfId="0" applyFont="1" applyFill="1" applyAlignment="1">
      <alignment horizontal="left"/>
    </xf>
    <xf numFmtId="0" fontId="24" fillId="5" borderId="0" xfId="0" applyFont="1" applyFill="1"/>
    <xf numFmtId="10" fontId="24" fillId="0" borderId="0" xfId="0" applyNumberFormat="1" applyFont="1"/>
    <xf numFmtId="172" fontId="24" fillId="0" borderId="0" xfId="0" applyNumberFormat="1" applyFont="1"/>
    <xf numFmtId="172" fontId="24" fillId="0" borderId="0" xfId="0" applyNumberFormat="1" applyFont="1" applyAlignment="1">
      <alignment horizontal="center"/>
    </xf>
    <xf numFmtId="0" fontId="24" fillId="0" borderId="6" xfId="0" applyFont="1" applyBorder="1"/>
    <xf numFmtId="10" fontId="24" fillId="0" borderId="6" xfId="0" applyNumberFormat="1" applyFont="1" applyBorder="1" applyAlignment="1">
      <alignment horizontal="center"/>
    </xf>
    <xf numFmtId="3" fontId="24" fillId="0" borderId="6" xfId="0" applyNumberFormat="1" applyFont="1" applyBorder="1"/>
    <xf numFmtId="10" fontId="28" fillId="0" borderId="0" xfId="0" applyNumberFormat="1" applyFont="1" applyAlignment="1">
      <alignment horizontal="center"/>
    </xf>
    <xf numFmtId="3" fontId="28" fillId="0" borderId="0" xfId="0" applyNumberFormat="1" applyFont="1" applyAlignment="1">
      <alignment vertical="top"/>
    </xf>
    <xf numFmtId="10" fontId="26" fillId="0" borderId="0" xfId="0" applyNumberFormat="1" applyFont="1" applyAlignment="1">
      <alignment horizontal="center"/>
    </xf>
    <xf numFmtId="0" fontId="66" fillId="0" borderId="6" xfId="0" applyFont="1" applyBorder="1" applyAlignment="1">
      <alignment horizontal="center"/>
    </xf>
    <xf numFmtId="172" fontId="28" fillId="0" borderId="0" xfId="0" applyNumberFormat="1" applyFont="1" applyAlignment="1">
      <alignment horizontal="center"/>
    </xf>
    <xf numFmtId="10" fontId="71" fillId="0" borderId="0" xfId="0" applyNumberFormat="1" applyFont="1" applyAlignment="1">
      <alignment horizontal="center"/>
    </xf>
    <xf numFmtId="0" fontId="28" fillId="9" borderId="6" xfId="0" applyFont="1" applyFill="1" applyBorder="1"/>
    <xf numFmtId="0" fontId="28" fillId="0" borderId="4" xfId="271" applyBorder="1"/>
    <xf numFmtId="0" fontId="28" fillId="0" borderId="6" xfId="271" applyBorder="1"/>
    <xf numFmtId="0" fontId="28" fillId="0" borderId="1" xfId="0" applyFont="1" applyBorder="1"/>
    <xf numFmtId="168" fontId="28" fillId="0" borderId="3" xfId="0" applyNumberFormat="1" applyFont="1" applyBorder="1" applyAlignment="1">
      <alignment vertical="top"/>
    </xf>
    <xf numFmtId="168" fontId="28" fillId="0" borderId="4" xfId="0" applyNumberFormat="1" applyFont="1" applyBorder="1" applyAlignment="1">
      <alignment vertical="top"/>
    </xf>
    <xf numFmtId="168" fontId="28" fillId="0" borderId="5" xfId="0" applyNumberFormat="1" applyFont="1" applyBorder="1" applyAlignment="1">
      <alignment vertical="top"/>
    </xf>
    <xf numFmtId="168" fontId="28" fillId="0" borderId="8" xfId="0" applyNumberFormat="1" applyFont="1" applyBorder="1" applyAlignment="1">
      <alignment vertical="top"/>
    </xf>
    <xf numFmtId="168" fontId="28" fillId="0" borderId="0" xfId="0" applyNumberFormat="1" applyFont="1" applyAlignment="1">
      <alignment vertical="top"/>
    </xf>
    <xf numFmtId="0" fontId="28" fillId="0" borderId="0" xfId="0" applyFont="1" applyAlignment="1">
      <alignment horizontal="right" vertical="top"/>
    </xf>
    <xf numFmtId="0" fontId="28"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8" fillId="5" borderId="4" xfId="0" applyFont="1" applyFill="1" applyBorder="1" applyAlignment="1" applyProtection="1">
      <alignment horizontal="left" vertical="top"/>
      <protection locked="0"/>
    </xf>
    <xf numFmtId="0" fontId="28" fillId="5" borderId="5" xfId="0" applyFont="1" applyFill="1" applyBorder="1" applyAlignment="1" applyProtection="1">
      <alignment horizontal="left" vertical="top"/>
      <protection locked="0"/>
    </xf>
    <xf numFmtId="4" fontId="53" fillId="0" borderId="0" xfId="0" applyNumberFormat="1" applyFont="1" applyAlignment="1">
      <alignment horizontal="center"/>
    </xf>
    <xf numFmtId="0" fontId="38" fillId="0" borderId="1" xfId="543" applyFont="1" applyBorder="1" applyAlignment="1">
      <alignment horizontal="left" vertical="top" wrapText="1"/>
    </xf>
    <xf numFmtId="0" fontId="38" fillId="0" borderId="12" xfId="543" applyFont="1" applyBorder="1" applyAlignment="1">
      <alignment horizontal="center" vertical="top" wrapText="1"/>
    </xf>
    <xf numFmtId="0" fontId="38" fillId="0" borderId="8" xfId="543" applyFont="1" applyBorder="1" applyAlignment="1">
      <alignment horizontal="left" vertical="top" wrapText="1"/>
    </xf>
    <xf numFmtId="0" fontId="33" fillId="3" borderId="4" xfId="271" applyFont="1" applyFill="1" applyBorder="1" applyAlignment="1">
      <alignment vertical="top" wrapText="1"/>
    </xf>
    <xf numFmtId="0" fontId="25" fillId="3" borderId="11" xfId="271" applyFont="1" applyFill="1" applyBorder="1" applyAlignment="1">
      <alignment vertical="top"/>
    </xf>
    <xf numFmtId="0" fontId="26" fillId="0" borderId="9" xfId="271" applyFont="1" applyBorder="1" applyAlignment="1">
      <alignment horizontal="center" wrapText="1"/>
    </xf>
    <xf numFmtId="0" fontId="33" fillId="3" borderId="4" xfId="271" applyFont="1" applyFill="1" applyBorder="1" applyAlignment="1" applyProtection="1">
      <alignment vertical="top" wrapText="1"/>
      <protection locked="0"/>
    </xf>
    <xf numFmtId="0" fontId="33" fillId="3" borderId="5" xfId="271" applyFont="1" applyFill="1" applyBorder="1" applyAlignment="1" applyProtection="1">
      <alignment vertical="top" wrapText="1"/>
      <protection locked="0"/>
    </xf>
    <xf numFmtId="0" fontId="26" fillId="0" borderId="13" xfId="271" applyFont="1" applyBorder="1" applyAlignment="1">
      <alignment horizontal="center" wrapText="1"/>
    </xf>
    <xf numFmtId="0" fontId="51" fillId="2" borderId="11" xfId="271" applyFont="1" applyFill="1" applyBorder="1" applyAlignment="1">
      <alignment horizontal="left" vertical="top" wrapText="1"/>
    </xf>
    <xf numFmtId="0" fontId="28" fillId="0" borderId="11" xfId="271" applyBorder="1" applyAlignment="1" applyProtection="1">
      <alignment vertical="top" wrapText="1"/>
      <protection locked="0"/>
    </xf>
    <xf numFmtId="168" fontId="28" fillId="5" borderId="11" xfId="271" applyNumberFormat="1" applyFill="1" applyBorder="1" applyAlignment="1" applyProtection="1">
      <alignment vertical="top" wrapText="1"/>
      <protection locked="0"/>
    </xf>
    <xf numFmtId="0" fontId="28" fillId="5" borderId="3" xfId="271" applyFill="1" applyBorder="1" applyAlignment="1" applyProtection="1">
      <alignment vertical="top" wrapText="1"/>
      <protection locked="0"/>
    </xf>
    <xf numFmtId="0" fontId="28" fillId="5" borderId="11" xfId="271" applyFill="1" applyBorder="1" applyAlignment="1" applyProtection="1">
      <alignment vertical="top" wrapText="1"/>
      <protection locked="0"/>
    </xf>
    <xf numFmtId="0" fontId="28" fillId="0" borderId="11" xfId="271" applyBorder="1" applyAlignment="1">
      <alignment horizontal="right" vertical="top" wrapText="1"/>
    </xf>
    <xf numFmtId="168" fontId="28" fillId="0" borderId="11" xfId="271" applyNumberFormat="1" applyBorder="1" applyAlignment="1">
      <alignment vertical="top" wrapText="1"/>
    </xf>
    <xf numFmtId="0" fontId="26" fillId="0" borderId="11" xfId="271" applyFont="1" applyBorder="1" applyAlignment="1">
      <alignment horizontal="right" vertical="top" wrapText="1"/>
    </xf>
    <xf numFmtId="0" fontId="28" fillId="5" borderId="11" xfId="271" applyFill="1" applyBorder="1" applyAlignment="1" applyProtection="1">
      <alignment horizontal="right" vertical="top" wrapText="1"/>
      <protection locked="0"/>
    </xf>
    <xf numFmtId="168" fontId="26" fillId="0" borderId="11" xfId="271" applyNumberFormat="1" applyFont="1" applyBorder="1" applyAlignment="1">
      <alignment vertical="top" wrapText="1"/>
    </xf>
    <xf numFmtId="0" fontId="36" fillId="0" borderId="11" xfId="271" applyFont="1" applyBorder="1" applyAlignment="1">
      <alignment horizontal="right" vertical="top" wrapText="1"/>
    </xf>
    <xf numFmtId="0" fontId="33" fillId="0" borderId="0" xfId="271" applyFont="1" applyAlignment="1" applyProtection="1">
      <alignment vertical="top" wrapText="1"/>
      <protection locked="0"/>
    </xf>
    <xf numFmtId="0" fontId="28" fillId="0" borderId="5" xfId="271" applyBorder="1" applyAlignment="1" applyProtection="1">
      <alignment vertical="top" wrapText="1"/>
      <protection locked="0"/>
    </xf>
    <xf numFmtId="0" fontId="26" fillId="0" borderId="3" xfId="271" applyFont="1" applyBorder="1" applyAlignment="1">
      <alignment horizontal="left" vertical="top"/>
    </xf>
    <xf numFmtId="0" fontId="28" fillId="0" borderId="4" xfId="271" applyBorder="1" applyAlignment="1" applyProtection="1">
      <alignment horizontal="left" vertical="top"/>
      <protection locked="0"/>
    </xf>
    <xf numFmtId="0" fontId="28" fillId="0" borderId="4" xfId="271" applyBorder="1" applyAlignment="1" applyProtection="1">
      <alignment vertical="top" wrapText="1"/>
      <protection locked="0"/>
    </xf>
    <xf numFmtId="0" fontId="33" fillId="0" borderId="0" xfId="271" applyFont="1" applyAlignment="1">
      <alignment vertical="top" wrapText="1"/>
    </xf>
    <xf numFmtId="0" fontId="28" fillId="0" borderId="4" xfId="271" applyBorder="1" applyAlignment="1">
      <alignment vertical="top" wrapText="1"/>
    </xf>
    <xf numFmtId="0" fontId="51" fillId="2" borderId="11" xfId="271" applyFont="1" applyFill="1" applyBorder="1" applyAlignment="1" applyProtection="1">
      <alignment horizontal="left" vertical="top" wrapText="1"/>
      <protection locked="0"/>
    </xf>
    <xf numFmtId="0" fontId="55" fillId="0" borderId="11" xfId="0" applyFont="1" applyBorder="1" applyAlignment="1">
      <alignment horizontal="right" vertical="top" wrapText="1"/>
    </xf>
    <xf numFmtId="0" fontId="28" fillId="8" borderId="0" xfId="542" quotePrefix="1" applyFont="1" applyFill="1" applyAlignment="1">
      <alignment horizontal="left"/>
    </xf>
    <xf numFmtId="0" fontId="28" fillId="8" borderId="0" xfId="542" applyFont="1" applyFill="1"/>
    <xf numFmtId="0" fontId="36" fillId="8" borderId="0" xfId="542" applyFont="1" applyFill="1"/>
    <xf numFmtId="0" fontId="55" fillId="0" borderId="11" xfId="271" applyFont="1" applyBorder="1" applyAlignment="1">
      <alignment horizontal="right" vertical="top"/>
    </xf>
    <xf numFmtId="0" fontId="55" fillId="0" borderId="11" xfId="271" applyFont="1" applyBorder="1" applyAlignment="1">
      <alignment horizontal="right" vertical="top" wrapText="1"/>
    </xf>
    <xf numFmtId="0" fontId="28" fillId="0" borderId="0" xfId="271" applyAlignment="1">
      <alignment horizontal="left" vertical="top"/>
    </xf>
    <xf numFmtId="0" fontId="26" fillId="0" borderId="0" xfId="271" applyFont="1" applyAlignment="1">
      <alignment horizontal="right"/>
    </xf>
    <xf numFmtId="0" fontId="27" fillId="0" borderId="0" xfId="271" applyFont="1" applyAlignment="1">
      <alignment horizontal="center"/>
    </xf>
    <xf numFmtId="5" fontId="28" fillId="0" borderId="0" xfId="542" applyNumberFormat="1" applyFont="1"/>
    <xf numFmtId="1" fontId="28" fillId="0" borderId="15" xfId="271" applyNumberFormat="1" applyBorder="1"/>
    <xf numFmtId="1" fontId="28" fillId="0" borderId="14" xfId="271" applyNumberFormat="1" applyBorder="1"/>
    <xf numFmtId="0" fontId="27" fillId="0" borderId="6" xfId="271" applyFont="1" applyBorder="1" applyAlignment="1">
      <alignment horizontal="left"/>
    </xf>
    <xf numFmtId="0" fontId="27" fillId="0" borderId="6" xfId="271" applyFont="1" applyBorder="1" applyAlignment="1">
      <alignment horizontal="right"/>
    </xf>
    <xf numFmtId="165" fontId="28" fillId="0" borderId="0" xfId="271" applyNumberFormat="1"/>
    <xf numFmtId="170" fontId="28" fillId="0" borderId="14" xfId="271" applyNumberFormat="1" applyBorder="1"/>
    <xf numFmtId="1" fontId="26" fillId="0" borderId="11" xfId="271" applyNumberFormat="1" applyFont="1" applyBorder="1"/>
    <xf numFmtId="165" fontId="26" fillId="0" borderId="11" xfId="271" applyNumberFormat="1" applyFont="1" applyBorder="1"/>
    <xf numFmtId="3" fontId="58" fillId="0" borderId="11" xfId="0" applyNumberFormat="1" applyFont="1" applyBorder="1" applyAlignment="1">
      <alignment vertical="top" wrapText="1"/>
    </xf>
    <xf numFmtId="166" fontId="28" fillId="0" borderId="0" xfId="0" applyNumberFormat="1" applyFont="1"/>
    <xf numFmtId="0" fontId="0" fillId="0" borderId="0" xfId="0" applyProtection="1">
      <protection locked="0"/>
    </xf>
    <xf numFmtId="0" fontId="24" fillId="0" borderId="0" xfId="0" applyFont="1" applyProtection="1">
      <protection locked="0"/>
    </xf>
    <xf numFmtId="0" fontId="24" fillId="0" borderId="0" xfId="271" applyFont="1" applyProtection="1">
      <protection locked="0"/>
    </xf>
    <xf numFmtId="168" fontId="24" fillId="0" borderId="0" xfId="271" applyNumberFormat="1" applyFont="1" applyProtection="1">
      <protection locked="0"/>
    </xf>
    <xf numFmtId="0" fontId="32" fillId="0" borderId="1" xfId="0" applyFont="1" applyBorder="1"/>
    <xf numFmtId="0" fontId="19" fillId="0" borderId="2" xfId="0" applyFont="1" applyBorder="1" applyAlignment="1">
      <alignment horizontal="left"/>
    </xf>
    <xf numFmtId="0" fontId="19" fillId="0" borderId="2" xfId="0" applyFont="1" applyBorder="1"/>
    <xf numFmtId="0" fontId="32" fillId="0" borderId="8" xfId="0" applyFont="1" applyBorder="1"/>
    <xf numFmtId="0" fontId="32" fillId="0" borderId="9" xfId="0" applyFont="1" applyBorder="1"/>
    <xf numFmtId="0" fontId="26" fillId="0" borderId="0" xfId="0" applyFont="1" applyAlignment="1">
      <alignment horizontal="left" vertical="top"/>
    </xf>
    <xf numFmtId="172" fontId="28" fillId="5" borderId="0" xfId="0" applyNumberFormat="1" applyFont="1" applyFill="1" applyAlignment="1">
      <alignment horizontal="center"/>
    </xf>
    <xf numFmtId="0" fontId="76" fillId="0" borderId="0" xfId="0" applyFont="1" applyAlignment="1">
      <alignment horizontal="left" vertical="center"/>
    </xf>
    <xf numFmtId="0" fontId="38" fillId="0" borderId="2" xfId="543" applyFont="1" applyBorder="1" applyAlignment="1">
      <alignment horizontal="center" vertical="top" wrapText="1"/>
    </xf>
    <xf numFmtId="49" fontId="49" fillId="0" borderId="0" xfId="0" applyNumberFormat="1" applyFont="1" applyAlignment="1">
      <alignment horizontal="center"/>
    </xf>
    <xf numFmtId="0" fontId="55" fillId="0" borderId="0" xfId="0" applyFont="1"/>
    <xf numFmtId="5" fontId="80" fillId="0" borderId="11" xfId="541" applyNumberFormat="1" applyFont="1" applyBorder="1" applyAlignment="1" applyProtection="1">
      <alignment horizontal="center"/>
    </xf>
    <xf numFmtId="5" fontId="80" fillId="42" borderId="11" xfId="541" applyNumberFormat="1" applyFont="1" applyFill="1" applyBorder="1" applyAlignment="1" applyProtection="1">
      <alignment horizontal="center"/>
    </xf>
    <xf numFmtId="5" fontId="80" fillId="2" borderId="11" xfId="541" applyNumberFormat="1" applyFont="1" applyFill="1" applyBorder="1" applyAlignment="1" applyProtection="1">
      <alignment horizontal="center"/>
    </xf>
    <xf numFmtId="0" fontId="55" fillId="0" borderId="0" xfId="0" applyFont="1" applyAlignment="1">
      <alignment vertical="top" wrapText="1"/>
    </xf>
    <xf numFmtId="0" fontId="55" fillId="0" borderId="0" xfId="0" applyFont="1" applyAlignment="1">
      <alignment vertical="top"/>
    </xf>
    <xf numFmtId="0" fontId="55" fillId="2" borderId="0" xfId="0" applyFont="1" applyFill="1" applyAlignment="1">
      <alignment vertical="top" wrapText="1"/>
    </xf>
    <xf numFmtId="0" fontId="82" fillId="0" borderId="13" xfId="0" applyFont="1" applyBorder="1" applyAlignment="1">
      <alignment vertical="top" wrapText="1"/>
    </xf>
    <xf numFmtId="0" fontId="33" fillId="0" borderId="0" xfId="0" applyFont="1" applyAlignment="1">
      <alignment vertical="top" wrapText="1"/>
    </xf>
    <xf numFmtId="0" fontId="82" fillId="2" borderId="13" xfId="0" applyFont="1" applyFill="1" applyBorder="1" applyAlignment="1">
      <alignment vertical="top" wrapText="1"/>
    </xf>
    <xf numFmtId="0" fontId="82" fillId="0" borderId="0" xfId="0" applyFont="1" applyAlignment="1">
      <alignment vertical="top" wrapText="1"/>
    </xf>
    <xf numFmtId="0" fontId="82" fillId="2" borderId="0" xfId="0" applyFont="1" applyFill="1" applyAlignment="1">
      <alignment vertical="top" wrapText="1"/>
    </xf>
    <xf numFmtId="0" fontId="55" fillId="0" borderId="0" xfId="0" applyFont="1" applyAlignment="1">
      <alignment horizontal="right" vertical="top" wrapText="1"/>
    </xf>
    <xf numFmtId="168" fontId="55" fillId="5" borderId="6" xfId="0" applyNumberFormat="1" applyFont="1" applyFill="1" applyBorder="1" applyAlignment="1" applyProtection="1">
      <alignment horizontal="right" vertical="top" wrapText="1"/>
      <protection locked="0"/>
    </xf>
    <xf numFmtId="168" fontId="55" fillId="0" borderId="6" xfId="0" applyNumberFormat="1" applyFont="1" applyBorder="1" applyAlignment="1">
      <alignment horizontal="right" vertical="top" wrapText="1"/>
    </xf>
    <xf numFmtId="0" fontId="26" fillId="0" borderId="0" xfId="0" applyFont="1" applyAlignment="1">
      <alignment horizontal="left" vertical="top" wrapText="1"/>
    </xf>
    <xf numFmtId="0" fontId="28" fillId="0" borderId="0" xfId="0" applyFont="1" applyAlignment="1">
      <alignment horizontal="right" vertical="top" wrapText="1"/>
    </xf>
    <xf numFmtId="10" fontId="28" fillId="5" borderId="6" xfId="0" applyNumberFormat="1" applyFont="1" applyFill="1" applyBorder="1" applyAlignment="1" applyProtection="1">
      <alignment horizontal="center" vertical="top" wrapText="1"/>
      <protection locked="0"/>
    </xf>
    <xf numFmtId="0" fontId="66" fillId="0" borderId="0" xfId="0" applyFont="1" applyAlignment="1">
      <alignment horizontal="left" vertical="center"/>
    </xf>
    <xf numFmtId="0" fontId="26" fillId="0" borderId="2" xfId="543" applyFont="1" applyBorder="1" applyAlignment="1">
      <alignment horizontal="center"/>
    </xf>
    <xf numFmtId="0" fontId="0" fillId="0" borderId="0" xfId="543" applyFont="1"/>
    <xf numFmtId="0" fontId="20" fillId="0" borderId="0" xfId="244" quotePrefix="1" applyAlignment="1" applyProtection="1">
      <alignment horizontal="left"/>
    </xf>
    <xf numFmtId="168" fontId="55" fillId="0" borderId="11" xfId="0" applyNumberFormat="1" applyFont="1" applyBorder="1" applyAlignment="1">
      <alignment vertical="top" wrapText="1"/>
    </xf>
    <xf numFmtId="168" fontId="55" fillId="4" borderId="11" xfId="0" applyNumberFormat="1" applyFont="1" applyFill="1" applyBorder="1" applyAlignment="1">
      <alignment vertical="top" wrapText="1"/>
    </xf>
    <xf numFmtId="0" fontId="106" fillId="0" borderId="0" xfId="0" applyFont="1" applyAlignment="1">
      <alignment horizontal="left" vertical="top"/>
    </xf>
    <xf numFmtId="0" fontId="107" fillId="0" borderId="0" xfId="0" applyFont="1" applyAlignment="1">
      <alignment horizontal="left" vertical="top"/>
    </xf>
    <xf numFmtId="0" fontId="26" fillId="8" borderId="11" xfId="542" applyFont="1" applyFill="1" applyBorder="1" applyAlignment="1">
      <alignment horizontal="left"/>
    </xf>
    <xf numFmtId="0" fontId="26" fillId="8" borderId="11" xfId="542" applyFont="1" applyFill="1" applyBorder="1" applyAlignment="1">
      <alignment horizontal="center"/>
    </xf>
    <xf numFmtId="0" fontId="65" fillId="8" borderId="11" xfId="542" applyFont="1" applyFill="1" applyBorder="1" applyAlignment="1">
      <alignment horizontal="left"/>
    </xf>
    <xf numFmtId="0" fontId="65" fillId="0" borderId="11" xfId="542" applyFont="1" applyBorder="1" applyAlignment="1">
      <alignment horizontal="left"/>
    </xf>
    <xf numFmtId="0" fontId="26" fillId="0" borderId="0" xfId="271" applyFont="1" applyAlignment="1" applyProtection="1">
      <alignment horizontal="center" wrapText="1"/>
      <protection locked="0"/>
    </xf>
    <xf numFmtId="0" fontId="28" fillId="0" borderId="0" xfId="271" applyAlignment="1" applyProtection="1">
      <alignment vertical="top" wrapText="1"/>
      <protection locked="0"/>
    </xf>
    <xf numFmtId="0" fontId="26" fillId="0" borderId="0" xfId="271" applyFont="1" applyAlignment="1" applyProtection="1">
      <alignment vertical="top" wrapText="1"/>
      <protection locked="0"/>
    </xf>
    <xf numFmtId="0" fontId="19" fillId="0" borderId="0" xfId="0" applyFont="1" applyAlignment="1">
      <alignment horizontal="center"/>
    </xf>
    <xf numFmtId="0" fontId="33" fillId="0" borderId="8" xfId="569" applyFont="1" applyBorder="1" applyAlignment="1">
      <alignment vertical="top" wrapText="1"/>
    </xf>
    <xf numFmtId="0" fontId="33" fillId="0" borderId="0" xfId="569" applyFont="1" applyAlignment="1">
      <alignment vertical="top" wrapText="1"/>
    </xf>
    <xf numFmtId="0" fontId="57" fillId="2" borderId="11" xfId="569" applyFont="1" applyFill="1" applyBorder="1" applyAlignment="1">
      <alignment horizontal="left" vertical="top" wrapText="1"/>
    </xf>
    <xf numFmtId="6" fontId="55" fillId="4" borderId="11" xfId="569" applyNumberFormat="1" applyFont="1" applyFill="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6" fontId="55" fillId="0" borderId="11" xfId="569" applyNumberFormat="1" applyFont="1" applyBorder="1" applyAlignment="1">
      <alignment vertical="top" wrapText="1"/>
    </xf>
    <xf numFmtId="6" fontId="55" fillId="5" borderId="11" xfId="569" applyNumberFormat="1" applyFont="1" applyFill="1" applyBorder="1" applyAlignment="1" applyProtection="1">
      <alignment vertical="top" wrapText="1"/>
      <protection locked="0"/>
    </xf>
    <xf numFmtId="6" fontId="55" fillId="6" borderId="11" xfId="569" applyNumberFormat="1" applyFont="1" applyFill="1" applyBorder="1" applyAlignment="1">
      <alignment horizontal="center" vertical="top" wrapText="1"/>
    </xf>
    <xf numFmtId="0" fontId="55" fillId="0" borderId="11" xfId="569" applyFont="1" applyBorder="1" applyAlignment="1">
      <alignment horizontal="right" vertical="top" wrapText="1"/>
    </xf>
    <xf numFmtId="0" fontId="56" fillId="0" borderId="11" xfId="569" applyFont="1" applyBorder="1" applyAlignment="1">
      <alignment horizontal="right" vertical="top" wrapText="1"/>
    </xf>
    <xf numFmtId="0" fontId="55" fillId="0" borderId="11" xfId="569" applyFont="1" applyBorder="1" applyAlignment="1">
      <alignment horizontal="right" vertical="top"/>
    </xf>
    <xf numFmtId="6" fontId="56" fillId="0" borderId="11" xfId="569" applyNumberFormat="1" applyFont="1" applyBorder="1" applyAlignment="1">
      <alignment vertical="top" wrapText="1"/>
    </xf>
    <xf numFmtId="0" fontId="56" fillId="0" borderId="8" xfId="569" applyFont="1" applyBorder="1" applyAlignment="1">
      <alignment vertical="top" wrapText="1"/>
    </xf>
    <xf numFmtId="0" fontId="56" fillId="0" borderId="0" xfId="569" applyFont="1" applyAlignment="1">
      <alignment vertical="top" wrapText="1"/>
    </xf>
    <xf numFmtId="0" fontId="22" fillId="0" borderId="11" xfId="569" applyFont="1" applyBorder="1" applyAlignment="1">
      <alignment horizontal="right" vertical="top" wrapText="1"/>
    </xf>
    <xf numFmtId="0" fontId="56" fillId="0" borderId="0" xfId="569" applyFont="1" applyAlignment="1">
      <alignment horizontal="left" vertical="top"/>
    </xf>
    <xf numFmtId="6" fontId="55" fillId="0" borderId="0" xfId="569" applyNumberFormat="1" applyFont="1" applyAlignment="1">
      <alignment horizontal="left" vertical="top"/>
    </xf>
    <xf numFmtId="0" fontId="107" fillId="0" borderId="0" xfId="569" applyFont="1" applyAlignment="1">
      <alignment horizontal="left" vertical="top"/>
    </xf>
    <xf numFmtId="6" fontId="55" fillId="0" borderId="0" xfId="569" applyNumberFormat="1" applyFont="1" applyAlignment="1">
      <alignment vertical="top" wrapText="1"/>
    </xf>
    <xf numFmtId="0" fontId="55" fillId="0" borderId="0" xfId="569" applyFont="1" applyAlignment="1">
      <alignment horizontal="left" vertical="top"/>
    </xf>
    <xf numFmtId="0" fontId="55" fillId="0" borderId="12" xfId="569" applyFont="1" applyBorder="1" applyAlignment="1">
      <alignment vertical="top" wrapText="1"/>
    </xf>
    <xf numFmtId="0" fontId="26" fillId="0" borderId="0" xfId="569" applyFont="1" applyAlignment="1">
      <alignment horizontal="left" vertical="top"/>
    </xf>
    <xf numFmtId="0" fontId="110" fillId="0" borderId="0" xfId="569" applyFont="1" applyAlignment="1">
      <alignment horizontal="left" vertical="top"/>
    </xf>
    <xf numFmtId="0" fontId="66" fillId="0" borderId="0" xfId="569" applyFont="1" applyAlignment="1">
      <alignment horizontal="left" vertical="center"/>
    </xf>
    <xf numFmtId="0" fontId="34" fillId="0" borderId="0" xfId="569" applyFont="1" applyAlignment="1">
      <alignment vertical="top" wrapText="1"/>
    </xf>
    <xf numFmtId="0" fontId="34" fillId="0" borderId="12" xfId="569" applyFont="1" applyBorder="1" applyAlignment="1">
      <alignment vertical="top" wrapText="1"/>
    </xf>
    <xf numFmtId="0" fontId="34" fillId="0" borderId="8" xfId="569" applyFont="1" applyBorder="1" applyAlignment="1">
      <alignment vertical="top" wrapText="1"/>
    </xf>
    <xf numFmtId="0" fontId="55" fillId="0" borderId="0" xfId="569" applyFont="1" applyAlignment="1">
      <alignment vertical="top"/>
    </xf>
    <xf numFmtId="168" fontId="55" fillId="0" borderId="0" xfId="569" applyNumberFormat="1" applyFont="1" applyAlignment="1" applyProtection="1">
      <alignment horizontal="right" vertical="top" wrapText="1"/>
      <protection locked="0"/>
    </xf>
    <xf numFmtId="0" fontId="19" fillId="0" borderId="0" xfId="569" applyAlignment="1">
      <alignment vertical="top" wrapText="1"/>
    </xf>
    <xf numFmtId="0" fontId="19" fillId="0" borderId="0" xfId="569" applyAlignment="1">
      <alignment vertical="top"/>
    </xf>
    <xf numFmtId="0" fontId="55" fillId="0" borderId="0" xfId="569" applyFont="1" applyAlignment="1">
      <alignment horizontal="right" vertical="top" wrapText="1"/>
    </xf>
    <xf numFmtId="0" fontId="26" fillId="0" borderId="0" xfId="569" applyFont="1" applyAlignment="1">
      <alignment horizontal="left" vertical="top" wrapText="1"/>
    </xf>
    <xf numFmtId="168" fontId="55" fillId="0" borderId="0" xfId="569" applyNumberFormat="1" applyFont="1" applyAlignment="1">
      <alignment horizontal="right" vertical="top" wrapText="1"/>
    </xf>
    <xf numFmtId="0" fontId="19" fillId="0" borderId="0" xfId="569" applyAlignment="1" applyProtection="1">
      <alignment horizontal="left" vertical="top" wrapText="1"/>
      <protection locked="0"/>
    </xf>
    <xf numFmtId="0" fontId="19" fillId="0" borderId="0" xfId="569" applyAlignment="1">
      <alignment horizontal="right" vertical="top" wrapText="1"/>
    </xf>
    <xf numFmtId="0" fontId="19" fillId="0" borderId="0" xfId="569" applyAlignment="1">
      <alignment horizontal="left" vertical="top"/>
    </xf>
    <xf numFmtId="0" fontId="82" fillId="0" borderId="0" xfId="569" applyFont="1" applyAlignment="1">
      <alignment vertical="top" wrapText="1"/>
    </xf>
    <xf numFmtId="0" fontId="82" fillId="0" borderId="12" xfId="569" applyFont="1" applyBorder="1" applyAlignment="1">
      <alignment vertical="top" wrapText="1"/>
    </xf>
    <xf numFmtId="0" fontId="82" fillId="0" borderId="8" xfId="569" applyFont="1" applyBorder="1" applyAlignment="1">
      <alignment vertical="top" wrapText="1"/>
    </xf>
    <xf numFmtId="0" fontId="33" fillId="0" borderId="0" xfId="569" applyFont="1" applyAlignment="1">
      <alignment horizontal="right" vertical="top" wrapText="1"/>
    </xf>
    <xf numFmtId="0" fontId="82" fillId="0" borderId="0" xfId="569" applyFont="1" applyAlignment="1">
      <alignment horizontal="right" vertical="top" wrapText="1"/>
    </xf>
    <xf numFmtId="0" fontId="56" fillId="0" borderId="3" xfId="569" applyFont="1" applyBorder="1" applyAlignment="1">
      <alignment horizontal="left"/>
    </xf>
    <xf numFmtId="0" fontId="56" fillId="0" borderId="13" xfId="569" applyFont="1" applyBorder="1" applyAlignment="1">
      <alignment horizontal="center" wrapText="1"/>
    </xf>
    <xf numFmtId="0" fontId="56" fillId="0" borderId="8" xfId="569" applyFont="1" applyBorder="1" applyAlignment="1">
      <alignment horizontal="center" wrapText="1"/>
    </xf>
    <xf numFmtId="0" fontId="56" fillId="0" borderId="0" xfId="569" applyFont="1" applyAlignment="1">
      <alignment horizontal="center" wrapText="1"/>
    </xf>
    <xf numFmtId="0" fontId="19" fillId="0" borderId="0" xfId="569"/>
    <xf numFmtId="0" fontId="25" fillId="0" borderId="0" xfId="569" applyFont="1" applyAlignment="1">
      <alignment horizontal="center" vertical="center"/>
    </xf>
    <xf numFmtId="0" fontId="26" fillId="0" borderId="0" xfId="569" applyFont="1"/>
    <xf numFmtId="0" fontId="19" fillId="0" borderId="1" xfId="569" applyBorder="1"/>
    <xf numFmtId="0" fontId="19" fillId="0" borderId="2" xfId="569" applyBorder="1"/>
    <xf numFmtId="0" fontId="19" fillId="0" borderId="8" xfId="569" applyBorder="1"/>
    <xf numFmtId="0" fontId="19" fillId="0" borderId="9" xfId="569" applyBorder="1"/>
    <xf numFmtId="0" fontId="19" fillId="0" borderId="6" xfId="569" applyBorder="1"/>
    <xf numFmtId="0" fontId="27" fillId="0" borderId="0" xfId="569" applyFont="1"/>
    <xf numFmtId="0" fontId="19" fillId="0" borderId="7" xfId="569" applyBorder="1"/>
    <xf numFmtId="0" fontId="19" fillId="0" borderId="12" xfId="569" applyBorder="1"/>
    <xf numFmtId="0" fontId="19" fillId="0" borderId="10" xfId="569" applyBorder="1"/>
    <xf numFmtId="0" fontId="27" fillId="0" borderId="0" xfId="569" applyFont="1" applyAlignment="1">
      <alignment vertical="top" wrapText="1"/>
    </xf>
    <xf numFmtId="0" fontId="19" fillId="0" borderId="0" xfId="569" applyAlignment="1">
      <alignment horizontal="right"/>
    </xf>
    <xf numFmtId="0" fontId="19" fillId="0" borderId="0" xfId="569" applyAlignment="1">
      <alignment wrapText="1"/>
    </xf>
    <xf numFmtId="0" fontId="19" fillId="0" borderId="0" xfId="569" applyAlignment="1">
      <alignment vertical="center"/>
    </xf>
    <xf numFmtId="0" fontId="43" fillId="0" borderId="0" xfId="569" applyFont="1" applyAlignment="1">
      <alignment vertical="center" wrapText="1"/>
    </xf>
    <xf numFmtId="0" fontId="37" fillId="0" borderId="0" xfId="569" applyFont="1" applyAlignment="1">
      <alignment vertical="top" wrapText="1"/>
    </xf>
    <xf numFmtId="0" fontId="26" fillId="0" borderId="0" xfId="569" applyFont="1" applyAlignment="1">
      <alignment vertical="top" wrapText="1"/>
    </xf>
    <xf numFmtId="0" fontId="27" fillId="0" borderId="0" xfId="569" applyFont="1" applyAlignment="1">
      <alignment horizontal="left" vertical="top" wrapText="1"/>
    </xf>
    <xf numFmtId="164" fontId="19" fillId="0" borderId="0" xfId="569" applyNumberFormat="1" applyAlignment="1">
      <alignment horizontal="right"/>
    </xf>
    <xf numFmtId="168" fontId="19" fillId="0" borderId="0" xfId="569" applyNumberFormat="1" applyAlignment="1">
      <alignment horizontal="right"/>
    </xf>
    <xf numFmtId="0" fontId="108" fillId="0" borderId="0" xfId="569" applyFont="1" applyAlignment="1">
      <alignment horizontal="left" vertical="top" wrapText="1"/>
    </xf>
    <xf numFmtId="168" fontId="19" fillId="0" borderId="0" xfId="569" applyNumberFormat="1" applyAlignment="1">
      <alignment wrapText="1"/>
    </xf>
    <xf numFmtId="0" fontId="24" fillId="0" borderId="11" xfId="253" applyFont="1" applyBorder="1" applyAlignment="1">
      <alignment horizontal="center" wrapText="1"/>
    </xf>
    <xf numFmtId="0" fontId="24" fillId="0" borderId="0" xfId="253" applyFont="1" applyAlignment="1">
      <alignment horizontal="center" wrapText="1"/>
    </xf>
    <xf numFmtId="3" fontId="24" fillId="0" borderId="11" xfId="271" applyNumberFormat="1" applyFont="1" applyBorder="1"/>
    <xf numFmtId="3" fontId="24" fillId="0" borderId="0" xfId="271" applyNumberFormat="1" applyFont="1"/>
    <xf numFmtId="0" fontId="67" fillId="0" borderId="0" xfId="271" applyFont="1" applyAlignment="1">
      <alignment horizontal="left"/>
    </xf>
    <xf numFmtId="0" fontId="67" fillId="0" borderId="0" xfId="271" applyFont="1" applyAlignment="1">
      <alignment horizontal="right"/>
    </xf>
    <xf numFmtId="168" fontId="24" fillId="0" borderId="11" xfId="271" applyNumberFormat="1" applyFont="1" applyBorder="1"/>
    <xf numFmtId="168" fontId="24" fillId="0" borderId="0" xfId="271" applyNumberFormat="1" applyFont="1"/>
    <xf numFmtId="0" fontId="55" fillId="0" borderId="0" xfId="569" applyFont="1" applyAlignment="1">
      <alignment horizontal="left"/>
    </xf>
    <xf numFmtId="0" fontId="19" fillId="0" borderId="3" xfId="569" applyBorder="1"/>
    <xf numFmtId="0" fontId="109" fillId="0" borderId="0" xfId="1834"/>
    <xf numFmtId="0" fontId="0" fillId="0" borderId="0" xfId="0" applyAlignment="1">
      <alignment horizontal="left" vertical="top"/>
    </xf>
    <xf numFmtId="0" fontId="108" fillId="0" borderId="0" xfId="0" applyFont="1" applyAlignment="1">
      <alignment vertical="top" wrapText="1"/>
    </xf>
    <xf numFmtId="0" fontId="55" fillId="0" borderId="0" xfId="271" applyFont="1" applyAlignment="1">
      <alignment vertical="top" wrapText="1"/>
    </xf>
    <xf numFmtId="4" fontId="19" fillId="0" borderId="0" xfId="1192" applyNumberFormat="1" applyAlignment="1">
      <alignment horizontal="left" vertical="top" wrapText="1"/>
    </xf>
    <xf numFmtId="0" fontId="19" fillId="0" borderId="0" xfId="0" applyFont="1" applyAlignment="1">
      <alignment horizontal="left" vertical="top" wrapText="1"/>
    </xf>
    <xf numFmtId="0" fontId="26" fillId="0" borderId="12" xfId="543" applyFont="1" applyBorder="1" applyAlignment="1">
      <alignment horizontal="right"/>
    </xf>
    <xf numFmtId="0" fontId="38" fillId="0" borderId="0" xfId="543" applyFont="1" applyAlignment="1">
      <alignment horizontal="center"/>
    </xf>
    <xf numFmtId="4" fontId="19" fillId="0" borderId="0" xfId="569" applyNumberFormat="1" applyAlignment="1">
      <alignment horizontal="left"/>
    </xf>
    <xf numFmtId="0" fontId="19" fillId="0" borderId="0" xfId="569" applyAlignment="1">
      <alignment horizontal="left" vertical="top" wrapText="1"/>
    </xf>
    <xf numFmtId="0" fontId="19" fillId="0" borderId="0" xfId="569" applyAlignment="1">
      <alignment horizontal="left"/>
    </xf>
    <xf numFmtId="0" fontId="19" fillId="0" borderId="0" xfId="1192" applyAlignment="1">
      <alignment horizontal="left"/>
    </xf>
    <xf numFmtId="0" fontId="26" fillId="0" borderId="0" xfId="569" applyFont="1" applyAlignment="1">
      <alignment horizontal="left"/>
    </xf>
    <xf numFmtId="0" fontId="48" fillId="0" borderId="0" xfId="1192" applyFont="1"/>
    <xf numFmtId="0" fontId="55" fillId="0" borderId="11" xfId="0" applyFont="1" applyBorder="1" applyAlignment="1">
      <alignment horizontal="right" vertical="center"/>
    </xf>
    <xf numFmtId="0" fontId="19" fillId="0" borderId="0" xfId="1192" applyAlignment="1">
      <alignment horizontal="left" vertical="top" wrapText="1"/>
    </xf>
    <xf numFmtId="0" fontId="48" fillId="0" borderId="0" xfId="0" applyFont="1" applyAlignment="1">
      <alignment vertical="top" wrapText="1"/>
    </xf>
    <xf numFmtId="0" fontId="48" fillId="0" borderId="0" xfId="0" applyFont="1" applyAlignment="1">
      <alignment horizontal="left" vertical="top" wrapText="1"/>
    </xf>
    <xf numFmtId="6" fontId="56" fillId="0" borderId="0" xfId="569" applyNumberFormat="1" applyFont="1" applyAlignment="1">
      <alignment horizontal="right" vertical="top"/>
    </xf>
    <xf numFmtId="0" fontId="19" fillId="0" borderId="0" xfId="0" applyFont="1" applyAlignment="1">
      <alignment vertical="top" wrapText="1"/>
    </xf>
    <xf numFmtId="168" fontId="28" fillId="0" borderId="0" xfId="0" applyNumberFormat="1" applyFont="1" applyAlignment="1">
      <alignment horizontal="right"/>
    </xf>
    <xf numFmtId="168" fontId="28" fillId="0" borderId="28" xfId="540" applyNumberFormat="1" applyBorder="1" applyAlignment="1" applyProtection="1">
      <alignment horizontal="center"/>
    </xf>
    <xf numFmtId="168" fontId="28" fillId="0" borderId="29" xfId="540" applyNumberFormat="1" applyBorder="1" applyAlignment="1" applyProtection="1">
      <alignment horizontal="center"/>
    </xf>
    <xf numFmtId="168" fontId="28" fillId="0" borderId="30" xfId="540" applyNumberFormat="1" applyBorder="1" applyAlignment="1" applyProtection="1">
      <alignment horizontal="center"/>
    </xf>
    <xf numFmtId="168" fontId="28" fillId="0" borderId="31" xfId="540" applyNumberFormat="1" applyBorder="1" applyAlignment="1" applyProtection="1">
      <alignment horizontal="center"/>
    </xf>
    <xf numFmtId="168" fontId="28" fillId="0" borderId="32" xfId="540" applyNumberFormat="1" applyBorder="1" applyAlignment="1" applyProtection="1">
      <alignment horizontal="center"/>
    </xf>
    <xf numFmtId="168" fontId="28" fillId="0" borderId="33" xfId="540" applyNumberFormat="1" applyBorder="1" applyAlignment="1" applyProtection="1">
      <alignment horizontal="center"/>
    </xf>
    <xf numFmtId="168" fontId="28" fillId="0" borderId="34" xfId="540" applyNumberFormat="1" applyBorder="1" applyAlignment="1" applyProtection="1">
      <alignment horizontal="center"/>
    </xf>
    <xf numFmtId="168" fontId="28" fillId="0" borderId="35" xfId="540" applyNumberFormat="1" applyBorder="1" applyAlignment="1" applyProtection="1">
      <alignment horizontal="center"/>
    </xf>
    <xf numFmtId="168" fontId="28" fillId="0" borderId="36" xfId="540" applyNumberFormat="1" applyBorder="1" applyAlignment="1" applyProtection="1">
      <alignment horizontal="center"/>
    </xf>
    <xf numFmtId="168" fontId="28" fillId="0" borderId="37" xfId="540" applyNumberFormat="1" applyBorder="1" applyAlignment="1" applyProtection="1">
      <alignment horizontal="center"/>
    </xf>
    <xf numFmtId="168" fontId="28" fillId="0" borderId="38" xfId="540" applyNumberFormat="1" applyBorder="1" applyAlignment="1" applyProtection="1">
      <alignment horizontal="center"/>
    </xf>
    <xf numFmtId="168" fontId="28" fillId="0" borderId="39" xfId="540" applyNumberFormat="1" applyBorder="1" applyAlignment="1" applyProtection="1">
      <alignment horizontal="center"/>
    </xf>
    <xf numFmtId="168" fontId="28" fillId="0" borderId="40" xfId="540" applyNumberFormat="1" applyBorder="1" applyAlignment="1" applyProtection="1">
      <alignment horizontal="center"/>
    </xf>
    <xf numFmtId="168" fontId="28" fillId="0" borderId="0" xfId="540" applyNumberFormat="1" applyAlignment="1" applyProtection="1">
      <alignment horizontal="center"/>
    </xf>
    <xf numFmtId="168" fontId="28" fillId="0" borderId="14" xfId="540" applyNumberFormat="1" applyBorder="1" applyAlignment="1" applyProtection="1">
      <alignment horizontal="center"/>
    </xf>
    <xf numFmtId="168" fontId="28" fillId="0" borderId="41" xfId="540" applyNumberFormat="1" applyBorder="1" applyAlignment="1" applyProtection="1">
      <alignment horizontal="center"/>
    </xf>
    <xf numFmtId="168" fontId="28" fillId="0" borderId="42" xfId="540" applyNumberFormat="1" applyBorder="1" applyAlignment="1" applyProtection="1">
      <alignment horizontal="center"/>
    </xf>
    <xf numFmtId="168" fontId="28" fillId="0" borderId="43" xfId="540" applyNumberFormat="1" applyBorder="1" applyAlignment="1" applyProtection="1">
      <alignment horizontal="center"/>
    </xf>
    <xf numFmtId="168" fontId="28" fillId="0" borderId="44" xfId="540" applyNumberFormat="1" applyBorder="1" applyAlignment="1" applyProtection="1">
      <alignment horizontal="center"/>
    </xf>
    <xf numFmtId="0" fontId="19" fillId="0" borderId="0" xfId="1192"/>
    <xf numFmtId="0" fontId="19" fillId="0" borderId="0" xfId="0" applyFont="1" applyAlignment="1">
      <alignment wrapText="1"/>
    </xf>
    <xf numFmtId="0" fontId="48" fillId="0" borderId="0" xfId="0" applyFont="1" applyAlignment="1">
      <alignment horizontal="left" vertical="top"/>
    </xf>
    <xf numFmtId="0" fontId="48" fillId="0" borderId="0" xfId="0" applyFont="1" applyAlignment="1">
      <alignment vertical="top"/>
    </xf>
    <xf numFmtId="0" fontId="19" fillId="0" borderId="0" xfId="569" applyAlignment="1">
      <alignment horizontal="center"/>
    </xf>
    <xf numFmtId="0" fontId="37" fillId="0" borderId="0" xfId="569" applyFont="1" applyAlignment="1">
      <alignment horizontal="left"/>
    </xf>
    <xf numFmtId="0" fontId="37" fillId="0" borderId="0" xfId="569" applyFont="1" applyAlignment="1">
      <alignment horizontal="center"/>
    </xf>
    <xf numFmtId="49" fontId="26" fillId="0" borderId="0" xfId="569" applyNumberFormat="1" applyFont="1" applyAlignment="1">
      <alignment horizontal="center"/>
    </xf>
    <xf numFmtId="0" fontId="53" fillId="0" borderId="0" xfId="569" applyFont="1" applyAlignment="1">
      <alignment horizontal="center"/>
    </xf>
    <xf numFmtId="0" fontId="19" fillId="5" borderId="6" xfId="569" applyFill="1" applyBorder="1" applyProtection="1">
      <protection locked="0"/>
    </xf>
    <xf numFmtId="0" fontId="20" fillId="0" borderId="0" xfId="244" applyAlignment="1" applyProtection="1">
      <alignment horizontal="center"/>
    </xf>
    <xf numFmtId="49" fontId="19" fillId="0" borderId="0" xfId="569" applyNumberFormat="1" applyAlignment="1">
      <alignment horizontal="center"/>
    </xf>
    <xf numFmtId="0" fontId="19" fillId="0" borderId="0" xfId="569" applyAlignment="1">
      <alignment horizontal="center" vertical="center"/>
    </xf>
    <xf numFmtId="0" fontId="19" fillId="0" borderId="0" xfId="1192" applyAlignment="1">
      <alignment horizontal="center"/>
    </xf>
    <xf numFmtId="0" fontId="26" fillId="0" borderId="0" xfId="569" applyFont="1" applyAlignment="1">
      <alignment horizontal="center"/>
    </xf>
    <xf numFmtId="0" fontId="19" fillId="0" borderId="0" xfId="569" applyAlignment="1">
      <alignment horizontal="left" indent="4"/>
    </xf>
    <xf numFmtId="0" fontId="19" fillId="0" borderId="0" xfId="569" quotePrefix="1" applyAlignment="1">
      <alignment horizontal="left"/>
    </xf>
    <xf numFmtId="0" fontId="37" fillId="0" borderId="0" xfId="569" applyFont="1"/>
    <xf numFmtId="0" fontId="19" fillId="0" borderId="0" xfId="1192" applyAlignment="1" applyProtection="1">
      <alignment horizontal="left"/>
      <protection locked="0"/>
    </xf>
    <xf numFmtId="0" fontId="19" fillId="0" borderId="0" xfId="569" applyAlignment="1" applyProtection="1">
      <alignment horizontal="left"/>
      <protection locked="0"/>
    </xf>
    <xf numFmtId="49" fontId="19" fillId="0" borderId="0" xfId="1192" applyNumberFormat="1" applyAlignment="1">
      <alignment horizontal="center"/>
    </xf>
    <xf numFmtId="0" fontId="53" fillId="0" borderId="0" xfId="1192" applyFont="1" applyAlignment="1">
      <alignment horizontal="center"/>
    </xf>
    <xf numFmtId="0" fontId="26" fillId="0" borderId="0" xfId="1192" applyFont="1" applyAlignment="1">
      <alignment horizontal="left"/>
    </xf>
    <xf numFmtId="4" fontId="19" fillId="0" borderId="0" xfId="1192" applyNumberFormat="1" applyAlignment="1">
      <alignment horizontal="left"/>
    </xf>
    <xf numFmtId="0" fontId="26" fillId="0" borderId="0" xfId="569" quotePrefix="1" applyFont="1" applyAlignment="1">
      <alignment horizontal="center"/>
    </xf>
    <xf numFmtId="49" fontId="19" fillId="0" borderId="0" xfId="569" applyNumberFormat="1"/>
    <xf numFmtId="0" fontId="51" fillId="0" borderId="0" xfId="569" applyFont="1" applyAlignment="1">
      <alignment horizontal="left"/>
    </xf>
    <xf numFmtId="4" fontId="53" fillId="0" borderId="0" xfId="569" applyNumberFormat="1" applyFont="1" applyAlignment="1">
      <alignment horizontal="center"/>
    </xf>
    <xf numFmtId="4" fontId="19" fillId="0" borderId="0" xfId="569" applyNumberFormat="1" applyAlignment="1">
      <alignment horizontal="center"/>
    </xf>
    <xf numFmtId="4" fontId="19" fillId="0" borderId="0" xfId="569" applyNumberFormat="1"/>
    <xf numFmtId="0" fontId="49" fillId="0" borderId="0" xfId="569" applyFont="1" applyAlignment="1">
      <alignment horizontal="left"/>
    </xf>
    <xf numFmtId="0" fontId="20" fillId="0" borderId="0" xfId="244" applyNumberFormat="1" applyFill="1" applyAlignment="1" applyProtection="1">
      <alignment horizontal="left"/>
      <protection locked="0"/>
    </xf>
    <xf numFmtId="0" fontId="55" fillId="0" borderId="11" xfId="0" applyFont="1" applyBorder="1" applyAlignment="1" applyProtection="1">
      <alignment horizontal="right" vertical="top" wrapText="1"/>
      <protection locked="0"/>
    </xf>
    <xf numFmtId="168" fontId="58" fillId="44" borderId="11" xfId="0" applyNumberFormat="1" applyFont="1" applyFill="1" applyBorder="1" applyAlignment="1">
      <alignment vertical="top" wrapText="1"/>
    </xf>
    <xf numFmtId="0" fontId="19" fillId="0" borderId="11" xfId="271" applyFont="1" applyBorder="1" applyAlignment="1">
      <alignment horizontal="right" vertical="top" wrapText="1"/>
    </xf>
    <xf numFmtId="0" fontId="27" fillId="0" borderId="0" xfId="569" applyFont="1" applyAlignment="1">
      <alignment horizontal="left"/>
    </xf>
    <xf numFmtId="0" fontId="106" fillId="0" borderId="0" xfId="0" applyFont="1"/>
    <xf numFmtId="0" fontId="117" fillId="0" borderId="0" xfId="0" applyFont="1" applyAlignment="1">
      <alignment horizontal="left" vertical="top"/>
    </xf>
    <xf numFmtId="0" fontId="118" fillId="0" borderId="0" xfId="0" applyFont="1" applyAlignment="1">
      <alignment horizontal="left" vertical="top"/>
    </xf>
    <xf numFmtId="168" fontId="27" fillId="0" borderId="0" xfId="0" applyNumberFormat="1" applyFont="1" applyAlignment="1">
      <alignment horizontal="left" vertical="top" wrapText="1"/>
    </xf>
    <xf numFmtId="168" fontId="55" fillId="5" borderId="11" xfId="0" applyNumberFormat="1" applyFont="1" applyFill="1" applyBorder="1" applyAlignment="1">
      <alignment vertical="top" wrapText="1"/>
    </xf>
    <xf numFmtId="0" fontId="19" fillId="0" borderId="0" xfId="271" applyFont="1" applyAlignment="1">
      <alignment horizontal="left" vertical="top"/>
    </xf>
    <xf numFmtId="0" fontId="55" fillId="0" borderId="0" xfId="569" applyFont="1"/>
    <xf numFmtId="0" fontId="19" fillId="0" borderId="0" xfId="0" applyFont="1" applyAlignment="1">
      <alignment horizontal="left" vertical="top"/>
    </xf>
    <xf numFmtId="4" fontId="19" fillId="0" borderId="0" xfId="1192" applyNumberFormat="1" applyAlignment="1">
      <alignment vertical="top" wrapText="1"/>
    </xf>
    <xf numFmtId="0" fontId="26" fillId="0" borderId="16" xfId="271" applyFont="1" applyBorder="1"/>
    <xf numFmtId="0" fontId="62" fillId="0" borderId="0" xfId="569" applyFont="1"/>
    <xf numFmtId="0" fontId="43" fillId="0" borderId="0" xfId="569" applyFont="1"/>
    <xf numFmtId="0" fontId="19" fillId="0" borderId="0" xfId="1192" applyAlignment="1">
      <alignment vertical="top" wrapText="1"/>
    </xf>
    <xf numFmtId="49" fontId="19" fillId="0" borderId="0" xfId="1192" applyNumberFormat="1" applyAlignment="1">
      <alignment vertical="top" wrapText="1"/>
    </xf>
    <xf numFmtId="0" fontId="57" fillId="0" borderId="9" xfId="543" applyFont="1" applyBorder="1" applyAlignment="1">
      <alignment vertical="top"/>
    </xf>
    <xf numFmtId="0" fontId="19" fillId="0" borderId="0" xfId="0" applyFont="1" applyAlignment="1">
      <alignment vertical="center"/>
    </xf>
    <xf numFmtId="0" fontId="119" fillId="0" borderId="0" xfId="0" applyFont="1"/>
    <xf numFmtId="3" fontId="106" fillId="0" borderId="0" xfId="0" applyNumberFormat="1" applyFont="1"/>
    <xf numFmtId="0" fontId="106" fillId="0" borderId="0" xfId="0" applyFont="1" applyAlignment="1">
      <alignment horizontal="left"/>
    </xf>
    <xf numFmtId="168" fontId="120" fillId="0" borderId="0" xfId="0" applyNumberFormat="1" applyFont="1" applyAlignment="1">
      <alignment horizontal="left" vertical="top"/>
    </xf>
    <xf numFmtId="0" fontId="106" fillId="0" borderId="0" xfId="0" applyFont="1" applyAlignment="1">
      <alignment horizontal="left" vertical="center"/>
    </xf>
    <xf numFmtId="0" fontId="122" fillId="0" borderId="0" xfId="0" applyFont="1"/>
    <xf numFmtId="172" fontId="19" fillId="0" borderId="8" xfId="543" applyNumberFormat="1" applyBorder="1"/>
    <xf numFmtId="0" fontId="19" fillId="0" borderId="8" xfId="4495" applyFont="1" applyBorder="1"/>
    <xf numFmtId="0" fontId="19" fillId="0" borderId="0" xfId="4495" applyFont="1"/>
    <xf numFmtId="0" fontId="25" fillId="0" borderId="0" xfId="4495" applyFont="1" applyAlignment="1">
      <alignment horizontal="center" vertical="center"/>
    </xf>
    <xf numFmtId="0" fontId="26" fillId="0" borderId="0" xfId="4495" applyFont="1" applyAlignment="1">
      <alignment horizontal="left"/>
    </xf>
    <xf numFmtId="0" fontId="26" fillId="0" borderId="0" xfId="4495" applyFont="1"/>
    <xf numFmtId="0" fontId="29" fillId="0" borderId="0" xfId="4495" applyFont="1" applyAlignment="1">
      <alignment horizontal="center" vertical="center"/>
    </xf>
    <xf numFmtId="0" fontId="29" fillId="0" borderId="27" xfId="4495" applyFont="1" applyBorder="1" applyAlignment="1">
      <alignment horizontal="center" vertical="center"/>
    </xf>
    <xf numFmtId="0" fontId="29" fillId="0" borderId="46" xfId="4495" applyFont="1" applyBorder="1" applyAlignment="1">
      <alignment horizontal="center" vertical="center"/>
    </xf>
    <xf numFmtId="0" fontId="26" fillId="0" borderId="0" xfId="4495" applyFont="1" applyAlignment="1">
      <alignment horizontal="right"/>
    </xf>
    <xf numFmtId="0" fontId="19" fillId="0" borderId="0" xfId="1192" quotePrefix="1" applyAlignment="1">
      <alignment horizontal="center"/>
    </xf>
    <xf numFmtId="49" fontId="27" fillId="0" borderId="0" xfId="4495" applyNumberFormat="1" applyFont="1" applyAlignment="1">
      <alignment horizontal="left" vertical="top"/>
    </xf>
    <xf numFmtId="0" fontId="19" fillId="0" borderId="47" xfId="4495" applyFont="1" applyBorder="1" applyAlignment="1">
      <alignment horizontal="left" vertical="center"/>
    </xf>
    <xf numFmtId="0" fontId="29" fillId="0" borderId="48" xfId="4495" applyFont="1" applyBorder="1" applyAlignment="1">
      <alignment horizontal="center" vertical="center"/>
    </xf>
    <xf numFmtId="0" fontId="27" fillId="0" borderId="0" xfId="4495" applyFont="1"/>
    <xf numFmtId="0" fontId="27" fillId="0" borderId="0" xfId="4495" applyFont="1" applyAlignment="1">
      <alignment horizontal="left" vertical="top"/>
    </xf>
    <xf numFmtId="0" fontId="123" fillId="0" borderId="0" xfId="4496" applyFont="1" applyAlignment="1">
      <alignment horizontal="left" vertical="top" wrapText="1"/>
    </xf>
    <xf numFmtId="0" fontId="123" fillId="0" borderId="54" xfId="4496" applyFont="1" applyBorder="1" applyAlignment="1">
      <alignment horizontal="left" vertical="top" wrapText="1"/>
    </xf>
    <xf numFmtId="0" fontId="19" fillId="0" borderId="0" xfId="4495" applyFont="1" applyAlignment="1">
      <alignment horizontal="left" vertical="center"/>
    </xf>
    <xf numFmtId="0" fontId="124" fillId="0" borderId="0" xfId="4496" applyFont="1" applyAlignment="1">
      <alignment vertical="center"/>
    </xf>
    <xf numFmtId="0" fontId="123" fillId="0" borderId="0" xfId="4496" applyFont="1"/>
    <xf numFmtId="0" fontId="123" fillId="0" borderId="0" xfId="4496" applyFont="1" applyAlignment="1">
      <alignment vertical="center"/>
    </xf>
    <xf numFmtId="0" fontId="125" fillId="0" borderId="0" xfId="4496" applyFont="1" applyAlignment="1">
      <alignment vertical="center"/>
    </xf>
    <xf numFmtId="0" fontId="19" fillId="0" borderId="0" xfId="4496" applyFont="1" applyAlignment="1">
      <alignment vertical="center"/>
    </xf>
    <xf numFmtId="0" fontId="27" fillId="0" borderId="3" xfId="4495" applyFont="1" applyBorder="1" applyAlignment="1">
      <alignment vertical="top" wrapText="1"/>
    </xf>
    <xf numFmtId="0" fontId="27" fillId="0" borderId="4" xfId="4495" applyFont="1" applyBorder="1" applyAlignment="1">
      <alignment vertical="top" wrapText="1"/>
    </xf>
    <xf numFmtId="164" fontId="121" fillId="0" borderId="4" xfId="4495" applyNumberFormat="1" applyBorder="1" applyAlignment="1">
      <alignment horizontal="right"/>
    </xf>
    <xf numFmtId="0" fontId="27" fillId="0" borderId="4" xfId="4495" applyFont="1" applyBorder="1"/>
    <xf numFmtId="0" fontId="26" fillId="0" borderId="5" xfId="4495" applyFont="1" applyBorder="1" applyAlignment="1">
      <alignment horizontal="right"/>
    </xf>
    <xf numFmtId="0" fontId="19" fillId="0" borderId="16" xfId="4495" applyFont="1" applyBorder="1"/>
    <xf numFmtId="0" fontId="19" fillId="0" borderId="16" xfId="4495" applyFont="1" applyBorder="1" applyAlignment="1">
      <alignment horizontal="left" vertical="top"/>
    </xf>
    <xf numFmtId="0" fontId="27" fillId="0" borderId="16" xfId="4495" applyFont="1" applyBorder="1" applyAlignment="1">
      <alignment horizontal="left" vertical="top" wrapText="1"/>
    </xf>
    <xf numFmtId="0" fontId="27" fillId="0" borderId="45" xfId="4495" applyFont="1" applyBorder="1" applyAlignment="1">
      <alignment horizontal="left" vertical="top" wrapText="1"/>
    </xf>
    <xf numFmtId="0" fontId="121" fillId="0" borderId="0" xfId="4495"/>
    <xf numFmtId="0" fontId="20" fillId="0" borderId="0" xfId="244" applyFill="1" applyBorder="1" applyAlignment="1" applyProtection="1">
      <alignment horizontal="left" vertical="top"/>
    </xf>
    <xf numFmtId="0" fontId="20" fillId="0" borderId="0" xfId="244" applyFill="1" applyBorder="1" applyAlignment="1" applyProtection="1">
      <alignment horizontal="left" vertical="top" wrapText="1"/>
    </xf>
    <xf numFmtId="0" fontId="27" fillId="0" borderId="0" xfId="4495" applyFont="1" applyAlignment="1">
      <alignment horizontal="left" vertical="top" wrapText="1"/>
    </xf>
    <xf numFmtId="0" fontId="27" fillId="0" borderId="0" xfId="4495" applyFont="1" applyAlignment="1">
      <alignment horizontal="right" vertical="top"/>
    </xf>
    <xf numFmtId="0" fontId="19" fillId="0" borderId="0" xfId="4495" applyFont="1" applyAlignment="1">
      <alignment vertical="center" wrapText="1"/>
    </xf>
    <xf numFmtId="0" fontId="123" fillId="0" borderId="53" xfId="4496" applyFont="1" applyBorder="1" applyAlignment="1">
      <alignment vertical="top" wrapText="1"/>
    </xf>
    <xf numFmtId="0" fontId="123" fillId="0" borderId="0" xfId="4496" applyFont="1" applyAlignment="1">
      <alignment vertical="top" wrapText="1"/>
    </xf>
    <xf numFmtId="10" fontId="123" fillId="0" borderId="0" xfId="4496" applyNumberFormat="1" applyFont="1" applyAlignment="1">
      <alignment vertical="top" wrapText="1"/>
    </xf>
    <xf numFmtId="0" fontId="123" fillId="0" borderId="54" xfId="4496" applyFont="1" applyBorder="1" applyAlignment="1">
      <alignment vertical="top" wrapText="1"/>
    </xf>
    <xf numFmtId="0" fontId="123" fillId="0" borderId="0" xfId="4496" applyFont="1" applyAlignment="1">
      <alignment vertical="top"/>
    </xf>
    <xf numFmtId="165" fontId="123" fillId="0" borderId="0" xfId="4496" applyNumberFormat="1" applyFont="1" applyAlignment="1">
      <alignment vertical="top" wrapText="1"/>
    </xf>
    <xf numFmtId="0" fontId="26" fillId="0" borderId="57" xfId="4495" applyFont="1" applyBorder="1"/>
    <xf numFmtId="0" fontId="26" fillId="0" borderId="58" xfId="4495" applyFont="1" applyBorder="1"/>
    <xf numFmtId="0" fontId="26" fillId="0" borderId="58" xfId="4495" applyFont="1" applyBorder="1" applyAlignment="1">
      <alignment horizontal="right"/>
    </xf>
    <xf numFmtId="0" fontId="26" fillId="0" borderId="59" xfId="4495" applyFont="1" applyBorder="1" applyAlignment="1">
      <alignment horizontal="right"/>
    </xf>
    <xf numFmtId="0" fontId="123" fillId="0" borderId="53" xfId="4496" applyFont="1" applyBorder="1" applyAlignment="1">
      <alignment horizontal="left" vertical="top" wrapText="1"/>
    </xf>
    <xf numFmtId="0" fontId="123" fillId="0" borderId="0" xfId="4496" applyFont="1" applyAlignment="1">
      <alignment horizontal="left" vertical="top"/>
    </xf>
    <xf numFmtId="0" fontId="29" fillId="0" borderId="57" xfId="4495" applyFont="1" applyBorder="1" applyAlignment="1">
      <alignment horizontal="center" vertical="center"/>
    </xf>
    <xf numFmtId="0" fontId="29" fillId="0" borderId="58" xfId="4495" applyFont="1" applyBorder="1" applyAlignment="1">
      <alignment horizontal="center" vertical="center"/>
    </xf>
    <xf numFmtId="0" fontId="29" fillId="0" borderId="59" xfId="4495" applyFont="1" applyBorder="1" applyAlignment="1">
      <alignment horizontal="center" vertical="center"/>
    </xf>
    <xf numFmtId="0" fontId="26" fillId="0" borderId="0" xfId="4495" applyFont="1" applyAlignment="1">
      <alignment horizontal="center"/>
    </xf>
    <xf numFmtId="0" fontId="26" fillId="0" borderId="8" xfId="4495" applyFont="1" applyBorder="1"/>
    <xf numFmtId="0" fontId="27" fillId="0" borderId="0" xfId="4495" applyFont="1" applyAlignment="1">
      <alignment horizontal="left"/>
    </xf>
    <xf numFmtId="0" fontId="26" fillId="0" borderId="0" xfId="4495" applyFont="1" applyAlignment="1">
      <alignment horizontal="center" vertical="top"/>
    </xf>
    <xf numFmtId="0" fontId="19" fillId="0" borderId="0" xfId="4495" applyFont="1" applyAlignment="1">
      <alignment horizontal="center"/>
    </xf>
    <xf numFmtId="0" fontId="35" fillId="0" borderId="0" xfId="4495" applyFont="1"/>
    <xf numFmtId="0" fontId="27" fillId="0" borderId="8" xfId="4495" applyFont="1" applyBorder="1"/>
    <xf numFmtId="0" fontId="55" fillId="0" borderId="8" xfId="4495" applyFont="1" applyBorder="1"/>
    <xf numFmtId="1" fontId="19" fillId="0" borderId="0" xfId="1192" applyNumberFormat="1"/>
    <xf numFmtId="0" fontId="19" fillId="0" borderId="3" xfId="4495" applyFont="1" applyBorder="1"/>
    <xf numFmtId="0" fontId="19" fillId="0" borderId="4" xfId="4495" applyFont="1" applyBorder="1"/>
    <xf numFmtId="0" fontId="19" fillId="0" borderId="0" xfId="1192" applyAlignment="1">
      <alignment wrapText="1"/>
    </xf>
    <xf numFmtId="0" fontId="27" fillId="0" borderId="0" xfId="4495" applyFont="1" applyAlignment="1">
      <alignment vertical="top" wrapText="1"/>
    </xf>
    <xf numFmtId="0" fontId="27" fillId="0" borderId="0" xfId="1192" applyFont="1"/>
    <xf numFmtId="0" fontId="19" fillId="0" borderId="0" xfId="4495" applyFont="1" applyAlignment="1">
      <alignment horizontal="left"/>
    </xf>
    <xf numFmtId="0" fontId="27" fillId="0" borderId="3" xfId="4495" applyFont="1" applyBorder="1"/>
    <xf numFmtId="0" fontId="19" fillId="0" borderId="4" xfId="4495" applyFont="1" applyBorder="1" applyAlignment="1">
      <alignment horizontal="right"/>
    </xf>
    <xf numFmtId="1" fontId="19" fillId="0" borderId="0" xfId="4495" applyNumberFormat="1" applyFont="1" applyAlignment="1">
      <alignment horizontal="center"/>
    </xf>
    <xf numFmtId="0" fontId="55" fillId="0" borderId="0" xfId="4495" applyFont="1"/>
    <xf numFmtId="0" fontId="19" fillId="0" borderId="0" xfId="4495" applyFont="1" applyAlignment="1">
      <alignment horizontal="right"/>
    </xf>
    <xf numFmtId="0" fontId="27" fillId="0" borderId="0" xfId="4495" applyFont="1" applyAlignment="1">
      <alignment vertical="top"/>
    </xf>
    <xf numFmtId="0" fontId="27" fillId="0" borderId="27" xfId="4495" applyFont="1" applyBorder="1"/>
    <xf numFmtId="0" fontId="26" fillId="0" borderId="0" xfId="4495" applyFont="1" applyAlignment="1">
      <alignment vertical="top"/>
    </xf>
    <xf numFmtId="0" fontId="37" fillId="0" borderId="0" xfId="4495" applyFont="1" applyAlignment="1">
      <alignment vertical="top" wrapText="1"/>
    </xf>
    <xf numFmtId="0" fontId="26" fillId="0" borderId="0" xfId="4495" applyFont="1" applyAlignment="1">
      <alignment horizontal="left" vertical="top" wrapText="1"/>
    </xf>
    <xf numFmtId="0" fontId="19" fillId="0" borderId="0" xfId="4495" applyFont="1" applyAlignment="1">
      <alignment horizontal="left" vertical="top"/>
    </xf>
    <xf numFmtId="0" fontId="37" fillId="0" borderId="0" xfId="4495" applyFont="1" applyAlignment="1">
      <alignment vertical="top"/>
    </xf>
    <xf numFmtId="0" fontId="19" fillId="0" borderId="10" xfId="4495" applyFont="1" applyBorder="1" applyAlignment="1">
      <alignment horizontal="center"/>
    </xf>
    <xf numFmtId="0" fontId="19" fillId="0" borderId="16" xfId="4495" applyFont="1" applyBorder="1" applyAlignment="1">
      <alignment horizontal="center"/>
    </xf>
    <xf numFmtId="0" fontId="35" fillId="0" borderId="16" xfId="4495" applyFont="1" applyBorder="1"/>
    <xf numFmtId="0" fontId="27" fillId="0" borderId="16" xfId="4495" applyFont="1" applyBorder="1"/>
    <xf numFmtId="0" fontId="19" fillId="0" borderId="0" xfId="4496" applyFont="1" applyAlignment="1">
      <alignment vertical="top" wrapText="1"/>
    </xf>
    <xf numFmtId="0" fontId="26" fillId="0" borderId="0" xfId="1192" applyFont="1" applyAlignment="1">
      <alignment horizontal="right"/>
    </xf>
    <xf numFmtId="0" fontId="19" fillId="0" borderId="0" xfId="4496" applyFont="1"/>
    <xf numFmtId="0" fontId="19" fillId="0" borderId="0" xfId="4496" applyFont="1" applyAlignment="1">
      <alignment horizontal="left"/>
    </xf>
    <xf numFmtId="0" fontId="19" fillId="0" borderId="0" xfId="4496" applyFont="1" applyAlignment="1">
      <alignment horizontal="right"/>
    </xf>
    <xf numFmtId="0" fontId="27" fillId="0" borderId="0" xfId="4496" applyFont="1" applyAlignment="1">
      <alignment vertical="top" wrapText="1"/>
    </xf>
    <xf numFmtId="0" fontId="19" fillId="0" borderId="4" xfId="4496" applyFont="1" applyBorder="1"/>
    <xf numFmtId="0" fontId="26" fillId="0" borderId="4" xfId="4496" applyFont="1" applyBorder="1" applyAlignment="1">
      <alignment horizontal="right"/>
    </xf>
    <xf numFmtId="0" fontId="27" fillId="0" borderId="27" xfId="4495" applyFont="1" applyBorder="1" applyAlignment="1">
      <alignment horizontal="left" vertical="top"/>
    </xf>
    <xf numFmtId="0" fontId="19" fillId="0" borderId="27" xfId="4495" applyFont="1" applyBorder="1" applyAlignment="1">
      <alignment horizontal="left" vertical="top"/>
    </xf>
    <xf numFmtId="0" fontId="26" fillId="0" borderId="27" xfId="4495" applyFont="1" applyBorder="1" applyAlignment="1">
      <alignment horizontal="right"/>
    </xf>
    <xf numFmtId="0" fontId="19" fillId="0" borderId="27" xfId="4495" applyFont="1" applyBorder="1" applyAlignment="1">
      <alignment horizontal="center"/>
    </xf>
    <xf numFmtId="0" fontId="19" fillId="0" borderId="46" xfId="4495" applyFont="1" applyBorder="1" applyAlignment="1">
      <alignment horizontal="center"/>
    </xf>
    <xf numFmtId="164" fontId="27" fillId="0" borderId="0" xfId="4495" applyNumberFormat="1" applyFont="1" applyAlignment="1">
      <alignment horizontal="left" vertical="top" wrapText="1"/>
    </xf>
    <xf numFmtId="0" fontId="30" fillId="0" borderId="0" xfId="4495" applyFont="1"/>
    <xf numFmtId="0" fontId="27" fillId="0" borderId="0" xfId="4495" applyFont="1" applyAlignment="1">
      <alignment horizontal="right"/>
    </xf>
    <xf numFmtId="0" fontId="19" fillId="0" borderId="27" xfId="543" applyBorder="1"/>
    <xf numFmtId="0" fontId="19" fillId="0" borderId="46" xfId="543" applyBorder="1"/>
    <xf numFmtId="0" fontId="26" fillId="0" borderId="0" xfId="4495" applyFont="1" applyAlignment="1">
      <alignment horizontal="left" vertical="top"/>
    </xf>
    <xf numFmtId="1" fontId="121" fillId="0" borderId="0" xfId="4495" applyNumberFormat="1"/>
    <xf numFmtId="0" fontId="19" fillId="0" borderId="0" xfId="4495" applyFont="1" applyAlignment="1">
      <alignment vertical="top" wrapText="1"/>
    </xf>
    <xf numFmtId="0" fontId="19" fillId="0" borderId="0" xfId="4495" applyFont="1" applyAlignment="1">
      <alignment horizontal="left" vertical="top" wrapText="1"/>
    </xf>
    <xf numFmtId="0" fontId="19" fillId="0" borderId="50" xfId="4495" applyFont="1" applyBorder="1" applyAlignment="1">
      <alignment vertical="top"/>
    </xf>
    <xf numFmtId="1" fontId="27" fillId="0" borderId="8" xfId="4495" applyNumberFormat="1" applyFont="1" applyBorder="1"/>
    <xf numFmtId="0" fontId="19" fillId="0" borderId="0" xfId="543" applyAlignment="1">
      <alignment vertical="top"/>
    </xf>
    <xf numFmtId="0" fontId="27" fillId="0" borderId="51" xfId="4495" applyFont="1" applyBorder="1" applyAlignment="1">
      <alignment horizontal="left" vertical="top"/>
    </xf>
    <xf numFmtId="0" fontId="27" fillId="0" borderId="52" xfId="4495" applyFont="1" applyBorder="1" applyAlignment="1">
      <alignment horizontal="left" vertical="top"/>
    </xf>
    <xf numFmtId="0" fontId="121" fillId="0" borderId="0" xfId="4495" applyAlignment="1" applyProtection="1">
      <alignment horizontal="center"/>
      <protection locked="0"/>
    </xf>
    <xf numFmtId="0" fontId="19" fillId="0" borderId="53" xfId="4495" applyFont="1" applyBorder="1" applyAlignment="1">
      <alignment vertical="top"/>
    </xf>
    <xf numFmtId="0" fontId="19" fillId="0" borderId="54" xfId="4495" applyFont="1" applyBorder="1" applyAlignment="1">
      <alignment vertical="top" wrapText="1"/>
    </xf>
    <xf numFmtId="0" fontId="63" fillId="0" borderId="53" xfId="4495" applyFont="1" applyBorder="1"/>
    <xf numFmtId="0" fontId="27" fillId="0" borderId="54" xfId="4495" applyFont="1" applyBorder="1" applyAlignment="1">
      <alignment horizontal="left" vertical="top"/>
    </xf>
    <xf numFmtId="0" fontId="19" fillId="0" borderId="53" xfId="4495" applyFont="1" applyBorder="1" applyAlignment="1">
      <alignment vertical="center" wrapText="1"/>
    </xf>
    <xf numFmtId="0" fontId="63" fillId="0" borderId="57" xfId="4495" applyFont="1" applyBorder="1"/>
    <xf numFmtId="0" fontId="27" fillId="0" borderId="58" xfId="4495" applyFont="1" applyBorder="1" applyAlignment="1">
      <alignment horizontal="left" vertical="top"/>
    </xf>
    <xf numFmtId="0" fontId="27" fillId="0" borderId="12" xfId="4495" applyFont="1" applyBorder="1"/>
    <xf numFmtId="0" fontId="19" fillId="0" borderId="57" xfId="4495" applyFont="1" applyBorder="1" applyAlignment="1">
      <alignment vertical="center"/>
    </xf>
    <xf numFmtId="0" fontId="19" fillId="0" borderId="58" xfId="4495" applyFont="1" applyBorder="1" applyAlignment="1">
      <alignment vertical="top"/>
    </xf>
    <xf numFmtId="0" fontId="19" fillId="0" borderId="59" xfId="4495" applyFont="1" applyBorder="1" applyAlignment="1">
      <alignment vertical="top"/>
    </xf>
    <xf numFmtId="0" fontId="19" fillId="0" borderId="0" xfId="4495" applyFont="1" applyAlignment="1">
      <alignment vertical="top"/>
    </xf>
    <xf numFmtId="0" fontId="27" fillId="0" borderId="4" xfId="4495" applyFont="1" applyBorder="1" applyAlignment="1">
      <alignment horizontal="left" vertical="top"/>
    </xf>
    <xf numFmtId="0" fontId="19" fillId="0" borderId="4" xfId="4495" applyFont="1" applyBorder="1" applyAlignment="1">
      <alignment horizontal="left" vertical="top"/>
    </xf>
    <xf numFmtId="0" fontId="19" fillId="0" borderId="2" xfId="4495" applyFont="1" applyBorder="1"/>
    <xf numFmtId="0" fontId="27" fillId="0" borderId="2" xfId="4495" applyFont="1" applyBorder="1"/>
    <xf numFmtId="0" fontId="19" fillId="0" borderId="2" xfId="4495" applyFont="1" applyBorder="1" applyAlignment="1">
      <alignment horizontal="center"/>
    </xf>
    <xf numFmtId="0" fontId="27" fillId="0" borderId="7" xfId="4495" applyFont="1" applyBorder="1"/>
    <xf numFmtId="0" fontId="35" fillId="0" borderId="0" xfId="4495" applyFont="1" applyAlignment="1">
      <alignment horizontal="right"/>
    </xf>
    <xf numFmtId="0" fontId="126" fillId="0" borderId="0" xfId="4495" applyFont="1" applyAlignment="1">
      <alignment horizontal="left" vertical="top" wrapText="1"/>
    </xf>
    <xf numFmtId="0" fontId="35" fillId="0" borderId="0" xfId="4495" applyFont="1" applyAlignment="1">
      <alignment horizontal="left" vertical="top"/>
    </xf>
    <xf numFmtId="0" fontId="27" fillId="0" borderId="0" xfId="4495" quotePrefix="1" applyFont="1" applyAlignment="1">
      <alignment horizontal="right"/>
    </xf>
    <xf numFmtId="0" fontId="19" fillId="0" borderId="0" xfId="4497"/>
    <xf numFmtId="0" fontId="27" fillId="0" borderId="0" xfId="4495" applyFont="1" applyAlignment="1">
      <alignment horizontal="left" vertical="top" wrapText="1" shrinkToFit="1"/>
    </xf>
    <xf numFmtId="0" fontId="121" fillId="0" borderId="0" xfId="4495" applyAlignment="1">
      <alignment vertical="top" wrapText="1"/>
    </xf>
    <xf numFmtId="0" fontId="27" fillId="0" borderId="4" xfId="4495" applyFont="1" applyBorder="1" applyAlignment="1">
      <alignment horizontal="left" vertical="top" wrapText="1" shrinkToFit="1"/>
    </xf>
    <xf numFmtId="0" fontId="35" fillId="0" borderId="8" xfId="4495" applyFont="1" applyBorder="1"/>
    <xf numFmtId="0" fontId="27" fillId="0" borderId="0" xfId="4495" applyFont="1" applyAlignment="1">
      <alignment horizontal="center"/>
    </xf>
    <xf numFmtId="0" fontId="27" fillId="0" borderId="0" xfId="4495" quotePrefix="1" applyFont="1"/>
    <xf numFmtId="0" fontId="27" fillId="0" borderId="0" xfId="4495" applyFont="1" applyAlignment="1">
      <alignment horizontal="left" vertical="top" shrinkToFit="1"/>
    </xf>
    <xf numFmtId="0" fontId="49" fillId="0" borderId="0" xfId="4495" applyFont="1"/>
    <xf numFmtId="0" fontId="27" fillId="0" borderId="3" xfId="4495" applyFont="1" applyBorder="1" applyAlignment="1">
      <alignment horizontal="center"/>
    </xf>
    <xf numFmtId="0" fontId="121" fillId="0" borderId="8" xfId="4495" applyBorder="1"/>
    <xf numFmtId="0" fontId="26" fillId="0" borderId="8" xfId="4495" applyFont="1" applyBorder="1" applyAlignment="1">
      <alignment vertical="top"/>
    </xf>
    <xf numFmtId="0" fontId="121" fillId="0" borderId="0" xfId="4495" applyAlignment="1">
      <alignment vertical="top"/>
    </xf>
    <xf numFmtId="0" fontId="26" fillId="0" borderId="4" xfId="4495" applyFont="1" applyBorder="1" applyAlignment="1">
      <alignment horizontal="center" vertical="top"/>
    </xf>
    <xf numFmtId="0" fontId="126" fillId="0" borderId="0" xfId="4495" applyFont="1" applyAlignment="1">
      <alignment horizontal="left" vertical="top"/>
    </xf>
    <xf numFmtId="0" fontId="126" fillId="0" borderId="4" xfId="4495" applyFont="1" applyBorder="1" applyAlignment="1">
      <alignment horizontal="left" vertical="top"/>
    </xf>
    <xf numFmtId="168" fontId="19" fillId="0" borderId="0" xfId="4497" applyNumberFormat="1"/>
    <xf numFmtId="1" fontId="27" fillId="0" borderId="0" xfId="4495" applyNumberFormat="1" applyFont="1" applyAlignment="1">
      <alignment horizontal="center" vertical="top"/>
    </xf>
    <xf numFmtId="0" fontId="130" fillId="0" borderId="0" xfId="4495" applyFont="1" applyAlignment="1">
      <alignment vertical="top" wrapText="1"/>
    </xf>
    <xf numFmtId="0" fontId="130" fillId="0" borderId="0" xfId="4495" applyFont="1" applyAlignment="1">
      <alignment horizontal="left" vertical="top" wrapText="1"/>
    </xf>
    <xf numFmtId="0" fontId="27" fillId="0" borderId="6" xfId="4495" applyFont="1" applyBorder="1"/>
    <xf numFmtId="1" fontId="27" fillId="0" borderId="8" xfId="4495" applyNumberFormat="1" applyFont="1" applyBorder="1" applyAlignment="1">
      <alignment horizontal="center" vertical="top"/>
    </xf>
    <xf numFmtId="0" fontId="121" fillId="0" borderId="12" xfId="4495" applyBorder="1"/>
    <xf numFmtId="0" fontId="27" fillId="0" borderId="9" xfId="4495" applyFont="1" applyBorder="1"/>
    <xf numFmtId="0" fontId="121" fillId="0" borderId="10" xfId="4495" applyBorder="1"/>
    <xf numFmtId="0" fontId="35" fillId="0" borderId="3" xfId="4495" applyFont="1" applyBorder="1"/>
    <xf numFmtId="0" fontId="26" fillId="0" borderId="4" xfId="4495" applyFont="1" applyBorder="1"/>
    <xf numFmtId="0" fontId="121" fillId="0" borderId="12" xfId="4495" applyBorder="1" applyAlignment="1">
      <alignment vertical="top"/>
    </xf>
    <xf numFmtId="0" fontId="35" fillId="0" borderId="1" xfId="4495" applyFont="1" applyBorder="1"/>
    <xf numFmtId="0" fontId="130" fillId="0" borderId="2" xfId="4495" applyFont="1" applyBorder="1" applyAlignment="1">
      <alignment horizontal="left" wrapText="1"/>
    </xf>
    <xf numFmtId="0" fontId="130" fillId="0" borderId="2" xfId="4495" applyFont="1" applyBorder="1" applyAlignment="1">
      <alignment horizontal="left"/>
    </xf>
    <xf numFmtId="0" fontId="130" fillId="0" borderId="7" xfId="4495" applyFont="1" applyBorder="1" applyAlignment="1">
      <alignment horizontal="left" wrapText="1"/>
    </xf>
    <xf numFmtId="0" fontId="130" fillId="0" borderId="0" xfId="4495" applyFont="1" applyAlignment="1">
      <alignment horizontal="left" wrapText="1"/>
    </xf>
    <xf numFmtId="0" fontId="35" fillId="0" borderId="9" xfId="4495" applyFont="1" applyBorder="1"/>
    <xf numFmtId="0" fontId="27" fillId="0" borderId="10" xfId="4495" applyFont="1" applyBorder="1"/>
    <xf numFmtId="0" fontId="130" fillId="0" borderId="0" xfId="4495" applyFont="1" applyAlignment="1">
      <alignment wrapText="1"/>
    </xf>
    <xf numFmtId="0" fontId="35" fillId="0" borderId="9" xfId="4495" applyFont="1" applyBorder="1" applyAlignment="1">
      <alignment horizontal="center"/>
    </xf>
    <xf numFmtId="0" fontId="26" fillId="0" borderId="10" xfId="4495" applyFont="1" applyBorder="1"/>
    <xf numFmtId="0" fontId="37" fillId="0" borderId="0" xfId="4495" applyFont="1"/>
    <xf numFmtId="0" fontId="27" fillId="0" borderId="50" xfId="4495" applyFont="1" applyBorder="1"/>
    <xf numFmtId="0" fontId="27" fillId="0" borderId="51" xfId="4495" applyFont="1" applyBorder="1"/>
    <xf numFmtId="1" fontId="27" fillId="0" borderId="51" xfId="4495" quotePrefix="1" applyNumberFormat="1" applyFont="1" applyBorder="1" applyAlignment="1">
      <alignment horizontal="center" vertical="top"/>
    </xf>
    <xf numFmtId="0" fontId="26" fillId="0" borderId="51" xfId="4495" applyFont="1" applyBorder="1"/>
    <xf numFmtId="0" fontId="26" fillId="0" borderId="52" xfId="4495" applyFont="1" applyBorder="1" applyAlignment="1">
      <alignment horizontal="center"/>
    </xf>
    <xf numFmtId="0" fontId="19" fillId="0" borderId="53" xfId="4495" applyFont="1" applyBorder="1"/>
    <xf numFmtId="1" fontId="27" fillId="0" borderId="0" xfId="4495" quotePrefix="1" applyNumberFormat="1" applyFont="1" applyAlignment="1">
      <alignment horizontal="center" vertical="top"/>
    </xf>
    <xf numFmtId="0" fontId="26" fillId="0" borderId="54" xfId="4495" applyFont="1" applyBorder="1" applyAlignment="1">
      <alignment horizontal="center"/>
    </xf>
    <xf numFmtId="0" fontId="35" fillId="0" borderId="0" xfId="4495" applyFont="1" applyAlignment="1">
      <alignment vertical="top"/>
    </xf>
    <xf numFmtId="0" fontId="27" fillId="0" borderId="61" xfId="4495" applyFont="1" applyBorder="1"/>
    <xf numFmtId="0" fontId="121" fillId="0" borderId="58" xfId="4495" applyBorder="1" applyAlignment="1">
      <alignment horizontal="center"/>
    </xf>
    <xf numFmtId="1" fontId="27" fillId="0" borderId="58" xfId="4495" quotePrefix="1" applyNumberFormat="1" applyFont="1" applyBorder="1" applyAlignment="1">
      <alignment horizontal="center" vertical="top"/>
    </xf>
    <xf numFmtId="0" fontId="35" fillId="0" borderId="58" xfId="4495" applyFont="1" applyBorder="1" applyAlignment="1">
      <alignment vertical="top"/>
    </xf>
    <xf numFmtId="0" fontId="27" fillId="0" borderId="58" xfId="4495" applyFont="1" applyBorder="1" applyAlignment="1">
      <alignment vertical="top" wrapText="1"/>
    </xf>
    <xf numFmtId="0" fontId="27" fillId="0" borderId="58" xfId="4495" applyFont="1" applyBorder="1"/>
    <xf numFmtId="0" fontId="26" fillId="0" borderId="58" xfId="4495" applyFont="1" applyBorder="1" applyAlignment="1">
      <alignment horizontal="center"/>
    </xf>
    <xf numFmtId="0" fontId="121" fillId="0" borderId="61" xfId="4495" applyBorder="1"/>
    <xf numFmtId="0" fontId="121" fillId="0" borderId="0" xfId="4495" applyAlignment="1">
      <alignment horizontal="center"/>
    </xf>
    <xf numFmtId="0" fontId="19" fillId="0" borderId="53" xfId="543" applyBorder="1"/>
    <xf numFmtId="0" fontId="27" fillId="0" borderId="54" xfId="4495" applyFont="1" applyBorder="1"/>
    <xf numFmtId="0" fontId="19" fillId="0" borderId="58" xfId="543" applyBorder="1"/>
    <xf numFmtId="1" fontId="27" fillId="0" borderId="58" xfId="4495" applyNumberFormat="1" applyFont="1" applyBorder="1" applyAlignment="1">
      <alignment horizontal="center" vertical="top"/>
    </xf>
    <xf numFmtId="0" fontId="35" fillId="0" borderId="58" xfId="4495" applyFont="1" applyBorder="1" applyAlignment="1">
      <alignment vertical="center"/>
    </xf>
    <xf numFmtId="0" fontId="121" fillId="0" borderId="58" xfId="4495" applyBorder="1" applyAlignment="1">
      <alignment vertical="top" wrapText="1"/>
    </xf>
    <xf numFmtId="0" fontId="19" fillId="0" borderId="58" xfId="4495" applyFont="1" applyBorder="1"/>
    <xf numFmtId="0" fontId="35" fillId="0" borderId="0" xfId="4495" applyFont="1" applyAlignment="1">
      <alignment vertical="center"/>
    </xf>
    <xf numFmtId="0" fontId="27" fillId="0" borderId="53" xfId="4495" applyFont="1" applyBorder="1"/>
    <xf numFmtId="0" fontId="19" fillId="0" borderId="57" xfId="543" applyBorder="1"/>
    <xf numFmtId="0" fontId="27" fillId="0" borderId="58" xfId="4495" applyFont="1" applyBorder="1" applyAlignment="1">
      <alignment vertical="top"/>
    </xf>
    <xf numFmtId="0" fontId="27" fillId="0" borderId="59" xfId="4495" applyFont="1" applyBorder="1"/>
    <xf numFmtId="0" fontId="27" fillId="0" borderId="57" xfId="4495" applyFont="1" applyBorder="1"/>
    <xf numFmtId="0" fontId="19" fillId="0" borderId="51" xfId="4495" applyFont="1" applyBorder="1"/>
    <xf numFmtId="0" fontId="27" fillId="0" borderId="52" xfId="4495" applyFont="1" applyBorder="1"/>
    <xf numFmtId="0" fontId="19" fillId="0" borderId="50" xfId="543" applyBorder="1"/>
    <xf numFmtId="0" fontId="19" fillId="0" borderId="51" xfId="543" applyBorder="1"/>
    <xf numFmtId="0" fontId="19" fillId="0" borderId="52" xfId="543" applyBorder="1"/>
    <xf numFmtId="0" fontId="27" fillId="0" borderId="0" xfId="4495" applyFont="1" applyAlignment="1">
      <alignment wrapText="1"/>
    </xf>
    <xf numFmtId="0" fontId="26" fillId="0" borderId="54" xfId="4495" applyFont="1" applyBorder="1" applyAlignment="1">
      <alignment horizontal="center" vertical="top"/>
    </xf>
    <xf numFmtId="0" fontId="121" fillId="0" borderId="53" xfId="4495" applyBorder="1" applyAlignment="1">
      <alignment horizontal="center"/>
    </xf>
    <xf numFmtId="2" fontId="27" fillId="0" borderId="0" xfId="4495" applyNumberFormat="1" applyFont="1" applyAlignment="1">
      <alignment horizontal="right"/>
    </xf>
    <xf numFmtId="2" fontId="27" fillId="0" borderId="8" xfId="4495" applyNumberFormat="1" applyFont="1" applyBorder="1" applyAlignment="1">
      <alignment horizontal="left"/>
    </xf>
    <xf numFmtId="0" fontId="27" fillId="0" borderId="8" xfId="4495" applyFont="1" applyBorder="1" applyAlignment="1">
      <alignment horizontal="right"/>
    </xf>
    <xf numFmtId="0" fontId="129" fillId="0" borderId="0" xfId="4495" applyFont="1"/>
    <xf numFmtId="0" fontId="121" fillId="0" borderId="57" xfId="4495" applyBorder="1" applyAlignment="1">
      <alignment horizontal="center"/>
    </xf>
    <xf numFmtId="0" fontId="26" fillId="0" borderId="59" xfId="4495" applyFont="1" applyBorder="1" applyAlignment="1">
      <alignment horizontal="center"/>
    </xf>
    <xf numFmtId="9" fontId="27" fillId="0" borderId="0" xfId="4495" applyNumberFormat="1" applyFont="1" applyAlignment="1">
      <alignment horizontal="left"/>
    </xf>
    <xf numFmtId="0" fontId="19" fillId="0" borderId="17" xfId="543" applyBorder="1"/>
    <xf numFmtId="0" fontId="19" fillId="0" borderId="16" xfId="543" applyBorder="1"/>
    <xf numFmtId="0" fontId="19" fillId="0" borderId="51" xfId="4495" quotePrefix="1" applyFont="1" applyBorder="1" applyAlignment="1">
      <alignment horizontal="center" vertical="top"/>
    </xf>
    <xf numFmtId="0" fontId="27" fillId="0" borderId="53" xfId="4495" applyFont="1" applyBorder="1" applyAlignment="1">
      <alignment horizontal="left" vertical="top"/>
    </xf>
    <xf numFmtId="0" fontId="27" fillId="0" borderId="0" xfId="4495" applyFont="1" applyAlignment="1">
      <alignment horizontal="center" vertical="top"/>
    </xf>
    <xf numFmtId="0" fontId="27" fillId="0" borderId="57" xfId="4495" applyFont="1" applyBorder="1" applyAlignment="1">
      <alignment horizontal="left" vertical="top"/>
    </xf>
    <xf numFmtId="0" fontId="27" fillId="0" borderId="58" xfId="4495" applyFont="1" applyBorder="1" applyAlignment="1">
      <alignment horizontal="center" vertical="top"/>
    </xf>
    <xf numFmtId="0" fontId="121" fillId="0" borderId="58" xfId="4495" applyBorder="1"/>
    <xf numFmtId="0" fontId="26" fillId="0" borderId="58" xfId="4495" applyFont="1" applyBorder="1" applyAlignment="1">
      <alignment vertical="top"/>
    </xf>
    <xf numFmtId="0" fontId="26" fillId="0" borderId="58" xfId="4495" applyFont="1" applyBorder="1" applyAlignment="1">
      <alignment horizontal="left" vertical="top"/>
    </xf>
    <xf numFmtId="0" fontId="26" fillId="0" borderId="51" xfId="4495" applyFont="1" applyBorder="1" applyAlignment="1">
      <alignment horizontal="left" vertical="top"/>
    </xf>
    <xf numFmtId="0" fontId="26" fillId="0" borderId="53" xfId="4495" applyFont="1" applyBorder="1" applyAlignment="1">
      <alignment horizontal="left" vertical="top"/>
    </xf>
    <xf numFmtId="0" fontId="55" fillId="0" borderId="0" xfId="4495" applyFont="1" applyAlignment="1">
      <alignment horizontal="left" vertical="top"/>
    </xf>
    <xf numFmtId="0" fontId="27" fillId="0" borderId="0" xfId="4495" quotePrefix="1" applyFont="1" applyAlignment="1">
      <alignment horizontal="center" vertical="top"/>
    </xf>
    <xf numFmtId="0" fontId="56" fillId="0" borderId="0" xfId="4495" applyFont="1" applyAlignment="1">
      <alignment horizontal="center"/>
    </xf>
    <xf numFmtId="0" fontId="56" fillId="0" borderId="0" xfId="4495" applyFont="1" applyAlignment="1">
      <alignment vertical="top"/>
    </xf>
    <xf numFmtId="0" fontId="108" fillId="0" borderId="0" xfId="4495" applyFont="1"/>
    <xf numFmtId="0" fontId="55" fillId="0" borderId="0" xfId="4495" applyFont="1" applyAlignment="1">
      <alignment vertical="top"/>
    </xf>
    <xf numFmtId="0" fontId="35" fillId="0" borderId="53" xfId="4495" applyFont="1" applyBorder="1"/>
    <xf numFmtId="2" fontId="27" fillId="0" borderId="8" xfId="4495" applyNumberFormat="1" applyFont="1" applyBorder="1" applyAlignment="1">
      <alignment horizontal="right"/>
    </xf>
    <xf numFmtId="0" fontId="26" fillId="0" borderId="50" xfId="4495" applyFont="1" applyBorder="1" applyAlignment="1">
      <alignment horizontal="left" vertical="top"/>
    </xf>
    <xf numFmtId="0" fontId="55" fillId="0" borderId="51" xfId="4495" applyFont="1" applyBorder="1" applyAlignment="1">
      <alignment horizontal="left" vertical="top"/>
    </xf>
    <xf numFmtId="0" fontId="121" fillId="0" borderId="53" xfId="4495" applyBorder="1"/>
    <xf numFmtId="0" fontId="108" fillId="0" borderId="0" xfId="4495" applyFont="1" applyAlignment="1">
      <alignment horizontal="left" vertical="top"/>
    </xf>
    <xf numFmtId="1" fontId="26" fillId="0" borderId="58" xfId="4495" applyNumberFormat="1" applyFont="1" applyBorder="1" applyAlignment="1">
      <alignment vertical="top"/>
    </xf>
    <xf numFmtId="172" fontId="26" fillId="0" borderId="8" xfId="543" applyNumberFormat="1" applyFont="1" applyBorder="1"/>
    <xf numFmtId="172" fontId="26" fillId="0" borderId="0" xfId="543" applyNumberFormat="1" applyFont="1"/>
    <xf numFmtId="0" fontId="35" fillId="0" borderId="0" xfId="4495" applyFont="1" applyAlignment="1">
      <alignment wrapText="1"/>
    </xf>
    <xf numFmtId="0" fontId="35" fillId="0" borderId="0" xfId="4495" applyFont="1" applyAlignment="1">
      <alignment horizontal="center"/>
    </xf>
    <xf numFmtId="0" fontId="35" fillId="0" borderId="0" xfId="4495" applyFont="1" applyAlignment="1">
      <alignment vertical="center" wrapText="1"/>
    </xf>
    <xf numFmtId="180" fontId="27" fillId="0" borderId="0" xfId="4495" applyNumberFormat="1" applyFont="1" applyAlignment="1">
      <alignment horizontal="center"/>
    </xf>
    <xf numFmtId="1" fontId="27" fillId="0" borderId="0" xfId="4495" applyNumberFormat="1" applyFont="1" applyAlignment="1">
      <alignment horizontal="center"/>
    </xf>
    <xf numFmtId="0" fontId="26" fillId="0" borderId="51" xfId="4495" applyFont="1" applyBorder="1" applyAlignment="1">
      <alignment horizontal="center"/>
    </xf>
    <xf numFmtId="0" fontId="26" fillId="0" borderId="51" xfId="4495" applyFont="1" applyBorder="1" applyAlignment="1">
      <alignment vertical="top"/>
    </xf>
    <xf numFmtId="0" fontId="26" fillId="0" borderId="53" xfId="4495" applyFont="1" applyBorder="1"/>
    <xf numFmtId="0" fontId="19" fillId="0" borderId="54" xfId="543" applyBorder="1"/>
    <xf numFmtId="49" fontId="27" fillId="0" borderId="0" xfId="4495" applyNumberFormat="1" applyFont="1" applyAlignment="1">
      <alignment horizontal="left" vertical="center" wrapText="1"/>
    </xf>
    <xf numFmtId="0" fontId="19" fillId="0" borderId="57" xfId="4495" applyFont="1" applyBorder="1"/>
    <xf numFmtId="1" fontId="19" fillId="0" borderId="0" xfId="4495" applyNumberFormat="1" applyFont="1" applyAlignment="1">
      <alignment vertical="center"/>
    </xf>
    <xf numFmtId="0" fontId="37" fillId="0" borderId="50" xfId="4495" applyFont="1" applyBorder="1"/>
    <xf numFmtId="0" fontId="27" fillId="0" borderId="51" xfId="4495" applyFont="1" applyBorder="1" applyAlignment="1">
      <alignment horizontal="center" vertical="top"/>
    </xf>
    <xf numFmtId="0" fontId="27" fillId="0" borderId="51" xfId="4495" applyFont="1" applyBorder="1" applyAlignment="1">
      <alignment vertical="top" wrapText="1"/>
    </xf>
    <xf numFmtId="0" fontId="27" fillId="0" borderId="51" xfId="4495" applyFont="1" applyBorder="1" applyAlignment="1">
      <alignment horizontal="left" vertical="top" wrapText="1"/>
    </xf>
    <xf numFmtId="0" fontId="19" fillId="0" borderId="0" xfId="4495" quotePrefix="1" applyFont="1" applyAlignment="1">
      <alignment horizontal="center" vertical="top"/>
    </xf>
    <xf numFmtId="1" fontId="27" fillId="0" borderId="0" xfId="4495" quotePrefix="1" applyNumberFormat="1" applyFont="1" applyAlignment="1">
      <alignment wrapText="1"/>
    </xf>
    <xf numFmtId="0" fontId="27" fillId="0" borderId="6" xfId="4495" applyFont="1" applyBorder="1" applyAlignment="1">
      <alignment horizontal="right"/>
    </xf>
    <xf numFmtId="0" fontId="123" fillId="0" borderId="0" xfId="4496" applyFont="1" applyAlignment="1">
      <alignment wrapText="1"/>
    </xf>
    <xf numFmtId="0" fontId="19" fillId="0" borderId="0" xfId="4496" applyFont="1" applyAlignment="1">
      <alignment wrapText="1"/>
    </xf>
    <xf numFmtId="0" fontId="35" fillId="0" borderId="51" xfId="4495" applyFont="1" applyBorder="1" applyAlignment="1">
      <alignment vertical="top"/>
    </xf>
    <xf numFmtId="0" fontId="19" fillId="0" borderId="51" xfId="4496" applyFont="1" applyBorder="1" applyAlignment="1">
      <alignment wrapText="1"/>
    </xf>
    <xf numFmtId="0" fontId="26" fillId="0" borderId="51" xfId="4495" applyFont="1" applyBorder="1" applyAlignment="1">
      <alignment horizontal="right"/>
    </xf>
    <xf numFmtId="0" fontId="19" fillId="0" borderId="52" xfId="4495" applyFont="1" applyBorder="1" applyAlignment="1">
      <alignment horizontal="center"/>
    </xf>
    <xf numFmtId="0" fontId="19" fillId="0" borderId="53" xfId="4495" applyFont="1" applyBorder="1" applyAlignment="1">
      <alignment horizontal="left" vertical="top"/>
    </xf>
    <xf numFmtId="0" fontId="19" fillId="0" borderId="54" xfId="4495" applyFont="1" applyBorder="1" applyAlignment="1">
      <alignment horizontal="left" vertical="top"/>
    </xf>
    <xf numFmtId="0" fontId="19" fillId="0" borderId="54" xfId="4495" applyFont="1" applyBorder="1" applyAlignment="1">
      <alignment horizontal="center"/>
    </xf>
    <xf numFmtId="0" fontId="19" fillId="0" borderId="59" xfId="4495" applyFont="1" applyBorder="1" applyAlignment="1">
      <alignment horizontal="center"/>
    </xf>
    <xf numFmtId="9" fontId="19" fillId="0" borderId="0" xfId="4496" applyNumberFormat="1" applyFont="1" applyAlignment="1">
      <alignment horizontal="center"/>
    </xf>
    <xf numFmtId="1" fontId="19" fillId="0" borderId="0" xfId="543" applyNumberFormat="1"/>
    <xf numFmtId="0" fontId="27" fillId="0" borderId="1" xfId="4495" applyFont="1" applyBorder="1"/>
    <xf numFmtId="0" fontId="26" fillId="0" borderId="0" xfId="4495" applyFont="1" applyAlignment="1">
      <alignment horizontal="center" wrapText="1"/>
    </xf>
    <xf numFmtId="0" fontId="26" fillId="0" borderId="9" xfId="4495" applyFont="1" applyBorder="1" applyAlignment="1">
      <alignment horizontal="left"/>
    </xf>
    <xf numFmtId="0" fontId="26" fillId="0" borderId="3" xfId="4495" applyFont="1" applyBorder="1" applyAlignment="1">
      <alignment horizontal="left"/>
    </xf>
    <xf numFmtId="0" fontId="26" fillId="0" borderId="4" xfId="4495" applyFont="1" applyBorder="1" applyAlignment="1">
      <alignment horizontal="left"/>
    </xf>
    <xf numFmtId="0" fontId="19" fillId="0" borderId="2" xfId="4495" applyFont="1" applyBorder="1" applyAlignment="1">
      <alignment horizontal="left"/>
    </xf>
    <xf numFmtId="0" fontId="26" fillId="0" borderId="2" xfId="4495" applyFont="1" applyBorder="1" applyAlignment="1">
      <alignment horizontal="left"/>
    </xf>
    <xf numFmtId="0" fontId="26" fillId="0" borderId="5" xfId="4495" applyFont="1" applyBorder="1" applyAlignment="1">
      <alignment horizontal="left"/>
    </xf>
    <xf numFmtId="180" fontId="66" fillId="0" borderId="0" xfId="4495" applyNumberFormat="1" applyFont="1" applyAlignment="1">
      <alignment horizontal="center" vertical="center"/>
    </xf>
    <xf numFmtId="0" fontId="19" fillId="0" borderId="12" xfId="4495" applyFont="1" applyBorder="1" applyAlignment="1">
      <alignment vertical="top"/>
    </xf>
    <xf numFmtId="0" fontId="49" fillId="0" borderId="0" xfId="4495" applyFont="1" applyAlignment="1">
      <alignment vertical="top" wrapText="1"/>
    </xf>
    <xf numFmtId="0" fontId="19" fillId="0" borderId="51" xfId="4495" applyFont="1" applyBorder="1" applyAlignment="1">
      <alignment horizontal="left" vertical="top" wrapText="1"/>
    </xf>
    <xf numFmtId="0" fontId="19" fillId="0" borderId="51" xfId="4495" applyFont="1" applyBorder="1" applyAlignment="1">
      <alignment horizontal="right"/>
    </xf>
    <xf numFmtId="0" fontId="19" fillId="0" borderId="52" xfId="4495" applyFont="1" applyBorder="1" applyAlignment="1">
      <alignment horizontal="right"/>
    </xf>
    <xf numFmtId="0" fontId="19" fillId="0" borderId="54" xfId="4495" applyFont="1" applyBorder="1" applyAlignment="1">
      <alignment horizontal="right"/>
    </xf>
    <xf numFmtId="0" fontId="19" fillId="0" borderId="58" xfId="4495" applyFont="1" applyBorder="1" applyAlignment="1">
      <alignment horizontal="left" vertical="top" wrapText="1"/>
    </xf>
    <xf numFmtId="0" fontId="19" fillId="0" borderId="58" xfId="4495" applyFont="1" applyBorder="1" applyAlignment="1">
      <alignment horizontal="right"/>
    </xf>
    <xf numFmtId="0" fontId="19" fillId="0" borderId="59" xfId="4495" applyFont="1" applyBorder="1" applyAlignment="1">
      <alignment horizontal="right"/>
    </xf>
    <xf numFmtId="0" fontId="49" fillId="0" borderId="0" xfId="4495" applyFont="1" applyAlignment="1">
      <alignment horizontal="left" vertical="top" wrapText="1"/>
    </xf>
    <xf numFmtId="0" fontId="19" fillId="0" borderId="0" xfId="1192" applyAlignment="1">
      <alignment horizontal="left" vertical="top"/>
    </xf>
    <xf numFmtId="0" fontId="37" fillId="0" borderId="0" xfId="1192" applyFont="1" applyAlignment="1">
      <alignment horizontal="left" vertical="top"/>
    </xf>
    <xf numFmtId="0" fontId="19" fillId="0" borderId="0" xfId="1192" applyAlignment="1">
      <alignment vertical="top"/>
    </xf>
    <xf numFmtId="168" fontId="19" fillId="0" borderId="0" xfId="1192" applyNumberFormat="1"/>
    <xf numFmtId="165" fontId="19" fillId="0" borderId="0" xfId="1192" applyNumberFormat="1"/>
    <xf numFmtId="165" fontId="19" fillId="0" borderId="0" xfId="1192" applyNumberFormat="1" applyAlignment="1">
      <alignment horizontal="right"/>
    </xf>
    <xf numFmtId="2" fontId="19" fillId="0" borderId="0" xfId="1192" applyNumberFormat="1"/>
    <xf numFmtId="6" fontId="19" fillId="0" borderId="0" xfId="1192" applyNumberFormat="1"/>
    <xf numFmtId="0" fontId="26" fillId="0" borderId="0" xfId="1192" applyFont="1"/>
    <xf numFmtId="0" fontId="49" fillId="0" borderId="0" xfId="1192" applyFont="1"/>
    <xf numFmtId="168" fontId="19" fillId="0" borderId="0" xfId="4495" applyNumberFormat="1" applyFont="1"/>
    <xf numFmtId="0" fontId="26" fillId="0" borderId="0" xfId="1192" applyFont="1" applyAlignment="1">
      <alignment vertical="center"/>
    </xf>
    <xf numFmtId="0" fontId="119" fillId="0" borderId="0" xfId="1192" applyFont="1" applyAlignment="1">
      <alignment horizontal="left"/>
    </xf>
    <xf numFmtId="0" fontId="116" fillId="0" borderId="0" xfId="1192" applyFont="1" applyAlignment="1">
      <alignment horizontal="left"/>
    </xf>
    <xf numFmtId="0" fontId="116" fillId="0" borderId="0" xfId="1192" applyFont="1" applyAlignment="1">
      <alignment horizontal="center"/>
    </xf>
    <xf numFmtId="168" fontId="19" fillId="0" borderId="0" xfId="1192" applyNumberFormat="1" applyAlignment="1">
      <alignment horizontal="center"/>
    </xf>
    <xf numFmtId="9" fontId="19" fillId="0" borderId="0" xfId="1192" applyNumberFormat="1"/>
    <xf numFmtId="0" fontId="19" fillId="0" borderId="0" xfId="1192" applyAlignment="1">
      <alignment horizontal="right"/>
    </xf>
    <xf numFmtId="0" fontId="19" fillId="0" borderId="53" xfId="4495" applyFont="1" applyBorder="1" applyAlignment="1">
      <alignment horizontal="left"/>
    </xf>
    <xf numFmtId="6" fontId="26" fillId="0" borderId="0" xfId="1192" applyNumberFormat="1" applyFont="1" applyAlignment="1">
      <alignment horizontal="right"/>
    </xf>
    <xf numFmtId="165" fontId="19" fillId="0" borderId="0" xfId="4495" applyNumberFormat="1" applyFont="1"/>
    <xf numFmtId="0" fontId="56" fillId="0" borderId="4" xfId="4495" applyFont="1" applyBorder="1"/>
    <xf numFmtId="0" fontId="39" fillId="0" borderId="0" xfId="543" applyFont="1" applyAlignment="1">
      <alignment vertical="center" wrapText="1"/>
    </xf>
    <xf numFmtId="1" fontId="26" fillId="0" borderId="13" xfId="271" applyNumberFormat="1" applyFont="1" applyBorder="1"/>
    <xf numFmtId="1" fontId="28" fillId="0" borderId="13" xfId="271" applyNumberFormat="1" applyBorder="1"/>
    <xf numFmtId="0" fontId="19" fillId="0" borderId="11" xfId="0" applyFont="1" applyBorder="1"/>
    <xf numFmtId="9" fontId="19" fillId="0" borderId="0" xfId="4495" applyNumberFormat="1" applyFont="1"/>
    <xf numFmtId="165" fontId="123" fillId="0" borderId="0" xfId="4496" applyNumberFormat="1" applyFont="1" applyAlignment="1">
      <alignment horizontal="center" vertical="top" wrapText="1"/>
    </xf>
    <xf numFmtId="168" fontId="123" fillId="0" borderId="0" xfId="4496" applyNumberFormat="1" applyFont="1" applyAlignment="1">
      <alignment vertical="top" wrapText="1"/>
    </xf>
    <xf numFmtId="165" fontId="123" fillId="0" borderId="64" xfId="4496" applyNumberFormat="1" applyFont="1" applyBorder="1" applyAlignment="1">
      <alignment horizontal="center" vertical="top" wrapText="1"/>
    </xf>
    <xf numFmtId="165" fontId="123" fillId="0" borderId="53" xfId="4496" applyNumberFormat="1" applyFont="1" applyBorder="1" applyAlignment="1">
      <alignment horizontal="left" vertical="top"/>
    </xf>
    <xf numFmtId="165" fontId="123" fillId="0" borderId="53" xfId="4496" applyNumberFormat="1" applyFont="1" applyBorder="1" applyAlignment="1">
      <alignment horizontal="center" vertical="top" wrapText="1"/>
    </xf>
    <xf numFmtId="168" fontId="123" fillId="0" borderId="0" xfId="4496" applyNumberFormat="1" applyFont="1" applyAlignment="1">
      <alignment vertical="top"/>
    </xf>
    <xf numFmtId="1" fontId="123" fillId="0" borderId="0" xfId="4496" applyNumberFormat="1" applyFont="1" applyAlignment="1">
      <alignment vertical="top" wrapText="1"/>
    </xf>
    <xf numFmtId="164" fontId="27" fillId="0" borderId="0" xfId="4495" applyNumberFormat="1" applyFont="1"/>
    <xf numFmtId="0" fontId="26" fillId="0" borderId="8" xfId="0" applyFont="1" applyBorder="1" applyAlignment="1">
      <alignment horizontal="center" vertical="center" wrapText="1"/>
    </xf>
    <xf numFmtId="0" fontId="26"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1" fillId="0" borderId="50" xfId="1192" applyFont="1" applyBorder="1" applyAlignment="1">
      <alignment horizontal="left"/>
    </xf>
    <xf numFmtId="0" fontId="142" fillId="0" borderId="51" xfId="4495" applyFont="1" applyBorder="1" applyAlignment="1">
      <alignment vertical="top"/>
    </xf>
    <xf numFmtId="0" fontId="141" fillId="0" borderId="51" xfId="4495" applyFont="1" applyBorder="1" applyAlignment="1">
      <alignment vertical="top" wrapText="1"/>
    </xf>
    <xf numFmtId="0" fontId="142" fillId="0" borderId="51" xfId="4495" applyFont="1" applyBorder="1"/>
    <xf numFmtId="0" fontId="142" fillId="0" borderId="53" xfId="1192" applyFont="1" applyBorder="1" applyAlignment="1">
      <alignment horizontal="left"/>
    </xf>
    <xf numFmtId="0" fontId="142" fillId="0" borderId="0" xfId="4495" applyFont="1" applyAlignment="1">
      <alignment vertical="top"/>
    </xf>
    <xf numFmtId="0" fontId="141" fillId="0" borderId="0" xfId="4495" applyFont="1" applyAlignment="1">
      <alignment vertical="top" wrapText="1"/>
    </xf>
    <xf numFmtId="0" fontId="142" fillId="0" borderId="0" xfId="4495" applyFont="1"/>
    <xf numFmtId="0" fontId="141" fillId="0" borderId="53" xfId="1192" applyFont="1" applyBorder="1" applyAlignment="1">
      <alignment horizontal="left"/>
    </xf>
    <xf numFmtId="0" fontId="141" fillId="0" borderId="57" xfId="1192" applyFont="1" applyBorder="1" applyAlignment="1">
      <alignment horizontal="left"/>
    </xf>
    <xf numFmtId="0" fontId="142" fillId="0" borderId="58" xfId="4495" applyFont="1" applyBorder="1" applyAlignment="1">
      <alignment vertical="top"/>
    </xf>
    <xf numFmtId="0" fontId="141" fillId="0" borderId="58" xfId="4495" applyFont="1" applyBorder="1" applyAlignment="1">
      <alignment vertical="top" wrapText="1"/>
    </xf>
    <xf numFmtId="0" fontId="142" fillId="0" borderId="58" xfId="4495" applyFont="1" applyBorder="1"/>
    <xf numFmtId="0" fontId="28" fillId="0" borderId="3"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xf>
    <xf numFmtId="0" fontId="26" fillId="0" borderId="7" xfId="0" applyFont="1" applyBorder="1" applyAlignment="1">
      <alignment horizontal="right"/>
    </xf>
    <xf numFmtId="0" fontId="0" fillId="0" borderId="0" xfId="0" applyAlignment="1" applyProtection="1">
      <alignment horizontal="left" vertical="top" wrapText="1"/>
      <protection locked="0"/>
    </xf>
    <xf numFmtId="0" fontId="19" fillId="0" borderId="9" xfId="0" applyFont="1" applyBorder="1" applyAlignment="1">
      <alignment horizontal="left"/>
    </xf>
    <xf numFmtId="0" fontId="19" fillId="0" borderId="6" xfId="0" applyFont="1" applyBorder="1"/>
    <xf numFmtId="0" fontId="19" fillId="0" borderId="9" xfId="0" applyFont="1" applyBorder="1"/>
    <xf numFmtId="0" fontId="52" fillId="0" borderId="0" xfId="0" applyFont="1" applyAlignment="1">
      <alignment horizontal="center"/>
    </xf>
    <xf numFmtId="0" fontId="25" fillId="0" borderId="0" xfId="0" applyFont="1" applyAlignment="1">
      <alignment horizontal="center" vertical="center" wrapText="1"/>
    </xf>
    <xf numFmtId="0" fontId="34" fillId="0" borderId="0" xfId="0" applyFont="1" applyAlignment="1">
      <alignment horizontal="center"/>
    </xf>
    <xf numFmtId="0" fontId="27" fillId="0" borderId="0" xfId="0" applyFont="1" applyAlignment="1">
      <alignment horizontal="center"/>
    </xf>
    <xf numFmtId="0" fontId="26" fillId="0" borderId="3" xfId="0" applyFont="1" applyBorder="1"/>
    <xf numFmtId="0" fontId="26" fillId="0" borderId="4" xfId="271" applyFont="1" applyBorder="1"/>
    <xf numFmtId="0" fontId="26" fillId="0" borderId="3" xfId="271" applyFont="1" applyBorder="1"/>
    <xf numFmtId="0" fontId="26" fillId="0" borderId="5" xfId="271" applyFont="1" applyBorder="1"/>
    <xf numFmtId="0" fontId="19" fillId="0" borderId="58" xfId="4495" applyFont="1" applyBorder="1" applyAlignment="1">
      <alignment vertical="center" wrapText="1"/>
    </xf>
    <xf numFmtId="0" fontId="19" fillId="0" borderId="59" xfId="4495" applyFont="1" applyBorder="1" applyAlignment="1">
      <alignment vertical="center" wrapText="1"/>
    </xf>
    <xf numFmtId="0" fontId="19" fillId="0" borderId="0" xfId="4495" applyFont="1" applyAlignment="1">
      <alignment horizontal="left" vertical="center" wrapText="1"/>
    </xf>
    <xf numFmtId="0" fontId="26" fillId="0" borderId="5" xfId="0" applyFont="1" applyBorder="1"/>
    <xf numFmtId="168" fontId="24" fillId="43" borderId="0" xfId="0" applyNumberFormat="1" applyFont="1" applyFill="1"/>
    <xf numFmtId="9" fontId="27" fillId="0" borderId="0" xfId="543" applyNumberFormat="1" applyFont="1" applyAlignment="1">
      <alignment horizontal="center"/>
    </xf>
    <xf numFmtId="171" fontId="19" fillId="0" borderId="0" xfId="543" applyNumberFormat="1"/>
    <xf numFmtId="171" fontId="19" fillId="0" borderId="11" xfId="543" applyNumberFormat="1" applyBorder="1"/>
    <xf numFmtId="1" fontId="19" fillId="0" borderId="11" xfId="543" applyNumberFormat="1" applyBorder="1" applyAlignment="1">
      <alignment horizontal="center"/>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46" fillId="0" borderId="8" xfId="543" applyFont="1" applyBorder="1" applyAlignment="1">
      <alignment vertical="center" wrapText="1"/>
    </xf>
    <xf numFmtId="0" fontId="46" fillId="0" borderId="0" xfId="543" applyFont="1" applyAlignment="1">
      <alignment vertical="center" wrapText="1"/>
    </xf>
    <xf numFmtId="0" fontId="46" fillId="0" borderId="12" xfId="543" applyFont="1" applyBorder="1" applyAlignment="1">
      <alignment vertical="center" wrapText="1"/>
    </xf>
    <xf numFmtId="0" fontId="46" fillId="0" borderId="9" xfId="543" applyFont="1" applyBorder="1" applyAlignment="1">
      <alignment vertical="center" wrapText="1"/>
    </xf>
    <xf numFmtId="0" fontId="46" fillId="0" borderId="6" xfId="543" applyFont="1" applyBorder="1" applyAlignment="1">
      <alignment vertical="center" wrapText="1"/>
    </xf>
    <xf numFmtId="0" fontId="46" fillId="0" borderId="10" xfId="543" applyFont="1" applyBorder="1" applyAlignment="1">
      <alignment vertical="center" wrapText="1"/>
    </xf>
    <xf numFmtId="0" fontId="39" fillId="0" borderId="12" xfId="543" applyFont="1" applyBorder="1" applyAlignment="1">
      <alignment horizontal="center" vertical="top"/>
    </xf>
    <xf numFmtId="0" fontId="40" fillId="0" borderId="7" xfId="543" applyFont="1" applyBorder="1"/>
    <xf numFmtId="0" fontId="19" fillId="0" borderId="12" xfId="543" quotePrefix="1" applyBorder="1"/>
    <xf numFmtId="0" fontId="55" fillId="0" borderId="2" xfId="569" applyFont="1" applyBorder="1" applyAlignment="1">
      <alignment vertical="top"/>
    </xf>
    <xf numFmtId="0" fontId="29" fillId="0" borderId="0" xfId="4495" applyFont="1"/>
    <xf numFmtId="0" fontId="19" fillId="0" borderId="0" xfId="4495" applyFont="1" applyAlignment="1">
      <alignment vertical="top" wrapText="1" shrinkToFit="1"/>
    </xf>
    <xf numFmtId="0" fontId="146" fillId="0" borderId="0" xfId="4495" applyFont="1"/>
    <xf numFmtId="164" fontId="19" fillId="0" borderId="0" xfId="1192" applyNumberFormat="1" applyAlignment="1">
      <alignment horizontal="right"/>
    </xf>
    <xf numFmtId="164" fontId="19" fillId="0" borderId="0" xfId="4495" applyNumberFormat="1" applyFont="1" applyAlignment="1">
      <alignment horizontal="right"/>
    </xf>
    <xf numFmtId="0" fontId="19" fillId="0" borderId="0" xfId="4495" applyFont="1" applyAlignment="1">
      <alignment horizontal="left" vertical="top" wrapText="1" shrinkToFit="1"/>
    </xf>
    <xf numFmtId="0" fontId="19" fillId="0" borderId="6" xfId="4495" applyFont="1" applyBorder="1" applyAlignment="1">
      <alignment vertical="top" wrapText="1"/>
    </xf>
    <xf numFmtId="0" fontId="146" fillId="0" borderId="4" xfId="4495" applyFont="1" applyBorder="1"/>
    <xf numFmtId="0" fontId="19" fillId="0" borderId="4" xfId="4495" applyFont="1" applyBorder="1" applyAlignment="1">
      <alignment horizontal="left" vertical="top" wrapText="1" shrinkToFit="1"/>
    </xf>
    <xf numFmtId="0" fontId="29" fillId="0" borderId="0" xfId="4495" applyFont="1" applyAlignment="1">
      <alignment horizontal="left" vertical="top"/>
    </xf>
    <xf numFmtId="0" fontId="19" fillId="0" borderId="0" xfId="4495" applyFont="1" applyAlignment="1">
      <alignment vertical="center" wrapText="1" shrinkToFit="1"/>
    </xf>
    <xf numFmtId="0" fontId="19" fillId="0" borderId="0" xfId="4495" applyFont="1" applyAlignment="1">
      <alignment horizontal="left" vertical="top" shrinkToFit="1"/>
    </xf>
    <xf numFmtId="0" fontId="19" fillId="0" borderId="0" xfId="4495" applyFont="1" applyAlignment="1">
      <alignment horizontal="left" vertical="center" shrinkToFit="1"/>
    </xf>
    <xf numFmtId="0" fontId="29" fillId="0" borderId="4" xfId="4495" applyFont="1" applyBorder="1"/>
    <xf numFmtId="0" fontId="19" fillId="0" borderId="4" xfId="4495" applyFont="1" applyBorder="1" applyAlignment="1">
      <alignment horizontal="left" vertical="top" shrinkToFit="1"/>
    </xf>
    <xf numFmtId="0" fontId="19" fillId="0" borderId="0" xfId="4495" applyFont="1" applyAlignment="1">
      <alignment vertical="center"/>
    </xf>
    <xf numFmtId="0" fontId="25" fillId="0" borderId="0" xfId="4495" applyFont="1"/>
    <xf numFmtId="0" fontId="29" fillId="0" borderId="0" xfId="4495" applyFont="1" applyAlignment="1">
      <alignment horizontal="center"/>
    </xf>
    <xf numFmtId="0" fontId="19" fillId="0" borderId="4" xfId="4495" applyFont="1" applyBorder="1" applyAlignment="1">
      <alignment horizontal="left" vertical="top" wrapText="1"/>
    </xf>
    <xf numFmtId="44" fontId="19" fillId="0" borderId="0" xfId="707" applyFont="1" applyFill="1" applyBorder="1" applyAlignment="1" applyProtection="1">
      <alignment horizontal="left" vertical="top" wrapText="1"/>
    </xf>
    <xf numFmtId="44" fontId="19" fillId="0" borderId="4" xfId="707" applyFont="1" applyFill="1" applyBorder="1" applyAlignment="1" applyProtection="1">
      <alignment horizontal="left" vertical="top" wrapText="1"/>
    </xf>
    <xf numFmtId="164" fontId="37" fillId="0" borderId="0" xfId="4495" applyNumberFormat="1" applyFont="1" applyAlignment="1">
      <alignment horizontal="left"/>
    </xf>
    <xf numFmtId="0" fontId="29" fillId="0" borderId="0" xfId="4495" applyFont="1" applyAlignment="1">
      <alignment horizontal="left"/>
    </xf>
    <xf numFmtId="0" fontId="19" fillId="0" borderId="4" xfId="4495" applyFont="1" applyBorder="1" applyAlignment="1">
      <alignment vertical="top" wrapText="1"/>
    </xf>
    <xf numFmtId="0" fontId="29" fillId="0" borderId="4" xfId="4495" applyFont="1" applyBorder="1" applyAlignment="1">
      <alignment horizontal="left" vertical="top"/>
    </xf>
    <xf numFmtId="0" fontId="19" fillId="0" borderId="0" xfId="4495" applyFont="1" applyAlignment="1">
      <alignment horizontal="left" vertical="center" wrapText="1" shrinkToFit="1"/>
    </xf>
    <xf numFmtId="0" fontId="19" fillId="0" borderId="6" xfId="4495" applyFont="1" applyBorder="1" applyAlignment="1">
      <alignment horizontal="left" vertical="top" wrapText="1"/>
    </xf>
    <xf numFmtId="2" fontId="119" fillId="0" borderId="0" xfId="0" applyNumberFormat="1" applyFont="1" applyAlignment="1">
      <alignment horizontal="center"/>
    </xf>
    <xf numFmtId="9" fontId="19" fillId="0" borderId="0" xfId="4494" applyFont="1" applyAlignment="1">
      <alignment horizontal="center"/>
    </xf>
    <xf numFmtId="3" fontId="19" fillId="0" borderId="0" xfId="0" applyNumberFormat="1" applyFont="1"/>
    <xf numFmtId="10" fontId="19" fillId="0" borderId="0" xfId="0" applyNumberFormat="1" applyFont="1" applyAlignment="1">
      <alignment horizontal="center"/>
    </xf>
    <xf numFmtId="168" fontId="19" fillId="0" borderId="0" xfId="0" applyNumberFormat="1" applyFont="1"/>
    <xf numFmtId="172" fontId="19" fillId="0" borderId="11" xfId="0" applyNumberFormat="1" applyFont="1" applyBorder="1" applyAlignment="1">
      <alignment horizontal="center"/>
    </xf>
    <xf numFmtId="168" fontId="19" fillId="5" borderId="0" xfId="0" applyNumberFormat="1" applyFont="1" applyFill="1"/>
    <xf numFmtId="3" fontId="19" fillId="5" borderId="0" xfId="0" applyNumberFormat="1" applyFont="1" applyFill="1"/>
    <xf numFmtId="0" fontId="19" fillId="5" borderId="0" xfId="0" applyFont="1" applyFill="1"/>
    <xf numFmtId="3" fontId="19" fillId="5" borderId="6" xfId="0" applyNumberFormat="1" applyFont="1" applyFill="1" applyBorder="1"/>
    <xf numFmtId="3" fontId="19" fillId="0" borderId="6" xfId="0" applyNumberFormat="1" applyFont="1" applyBorder="1"/>
    <xf numFmtId="168" fontId="19" fillId="0" borderId="0" xfId="0" applyNumberFormat="1" applyFont="1" applyAlignment="1">
      <alignment horizontal="center"/>
    </xf>
    <xf numFmtId="3" fontId="19" fillId="0" borderId="0" xfId="0" applyNumberFormat="1" applyFont="1" applyAlignment="1">
      <alignment horizontal="center"/>
    </xf>
    <xf numFmtId="0" fontId="19" fillId="0" borderId="50" xfId="4495" applyFont="1" applyBorder="1" applyAlignment="1">
      <alignment vertical="center"/>
    </xf>
    <xf numFmtId="0" fontId="19" fillId="0" borderId="51" xfId="4495" applyFont="1" applyBorder="1" applyAlignment="1">
      <alignment vertical="center"/>
    </xf>
    <xf numFmtId="0" fontId="19" fillId="0" borderId="52" xfId="4495" applyFont="1" applyBorder="1" applyAlignment="1">
      <alignment vertical="center"/>
    </xf>
    <xf numFmtId="0" fontId="19" fillId="0" borderId="54" xfId="4495" applyFont="1" applyBorder="1" applyAlignment="1">
      <alignment vertical="center" wrapText="1"/>
    </xf>
    <xf numFmtId="0" fontId="19" fillId="0" borderId="53" xfId="4495" applyFont="1" applyBorder="1" applyAlignment="1">
      <alignment vertical="top" wrapText="1"/>
    </xf>
    <xf numFmtId="9" fontId="19" fillId="0" borderId="0" xfId="543" applyNumberFormat="1" applyAlignment="1">
      <alignment horizontal="center"/>
    </xf>
    <xf numFmtId="0" fontId="51" fillId="0" borderId="0" xfId="4496" applyFont="1"/>
    <xf numFmtId="168" fontId="55" fillId="5" borderId="11" xfId="0" applyNumberFormat="1" applyFont="1" applyFill="1" applyBorder="1" applyAlignment="1" applyProtection="1">
      <alignment vertical="top" wrapText="1"/>
      <protection locked="0"/>
    </xf>
    <xf numFmtId="0" fontId="19" fillId="0" borderId="0" xfId="0" applyFont="1" applyAlignment="1">
      <alignment horizontal="left" wrapText="1"/>
    </xf>
    <xf numFmtId="4" fontId="37" fillId="0" borderId="0" xfId="0" applyNumberFormat="1" applyFont="1" applyAlignment="1">
      <alignment horizontal="left"/>
    </xf>
    <xf numFmtId="4" fontId="19" fillId="0" borderId="0" xfId="0" applyNumberFormat="1" applyFont="1" applyAlignment="1">
      <alignment horizontal="left" vertical="top" wrapText="1"/>
    </xf>
    <xf numFmtId="0" fontId="26" fillId="0" borderId="4" xfId="0" applyFont="1" applyBorder="1" applyAlignment="1">
      <alignment horizontal="left"/>
    </xf>
    <xf numFmtId="4" fontId="19" fillId="0" borderId="0" xfId="0" applyNumberFormat="1" applyFont="1" applyAlignment="1">
      <alignment horizontal="left"/>
    </xf>
    <xf numFmtId="43" fontId="53" fillId="0" borderId="0" xfId="4503" applyFont="1" applyAlignment="1" applyProtection="1">
      <alignment horizontal="center"/>
    </xf>
    <xf numFmtId="43" fontId="19" fillId="0" borderId="0" xfId="4503" applyFont="1" applyAlignment="1" applyProtection="1">
      <alignment horizontal="center"/>
    </xf>
    <xf numFmtId="43" fontId="19" fillId="0" borderId="0" xfId="4503" applyFont="1" applyProtection="1"/>
    <xf numFmtId="49" fontId="19" fillId="0" borderId="0" xfId="0" applyNumberFormat="1" applyFont="1"/>
    <xf numFmtId="49" fontId="19" fillId="0" borderId="0" xfId="0" applyNumberFormat="1" applyFont="1" applyAlignment="1">
      <alignment horizontal="center"/>
    </xf>
    <xf numFmtId="4" fontId="19" fillId="0" borderId="0" xfId="0" applyNumberFormat="1" applyFont="1" applyAlignment="1">
      <alignment vertical="top" wrapText="1"/>
    </xf>
    <xf numFmtId="0" fontId="19" fillId="0" borderId="0" xfId="0" quotePrefix="1" applyFont="1"/>
    <xf numFmtId="0" fontId="49" fillId="0" borderId="0" xfId="0" applyFont="1" applyAlignment="1">
      <alignment horizontal="left"/>
    </xf>
    <xf numFmtId="0" fontId="19" fillId="0" borderId="4" xfId="0" applyFont="1" applyBorder="1" applyAlignment="1">
      <alignment horizontal="left"/>
    </xf>
    <xf numFmtId="0" fontId="19" fillId="0" borderId="0" xfId="0" quotePrefix="1" applyFont="1" applyAlignment="1">
      <alignment horizontal="left"/>
    </xf>
    <xf numFmtId="0" fontId="19" fillId="0" borderId="0" xfId="0" quotePrefix="1" applyFont="1" applyAlignment="1">
      <alignment horizontal="left" vertical="top"/>
    </xf>
    <xf numFmtId="0" fontId="49" fillId="0" borderId="0" xfId="1192" applyFont="1" applyAlignment="1">
      <alignment horizontal="left"/>
    </xf>
    <xf numFmtId="0" fontId="53" fillId="0" borderId="0" xfId="0" applyFont="1" applyAlignment="1">
      <alignment horizontal="center" vertical="center"/>
    </xf>
    <xf numFmtId="49" fontId="26" fillId="0" borderId="0" xfId="0" applyNumberFormat="1" applyFont="1" applyAlignment="1">
      <alignment horizontal="center" vertical="center"/>
    </xf>
    <xf numFmtId="49" fontId="19" fillId="0" borderId="0" xfId="0" applyNumberFormat="1" applyFont="1" applyAlignment="1">
      <alignment vertical="center"/>
    </xf>
    <xf numFmtId="4" fontId="19" fillId="0" borderId="0" xfId="0" applyNumberFormat="1" applyFont="1" applyAlignment="1">
      <alignment horizontal="center"/>
    </xf>
    <xf numFmtId="4" fontId="19" fillId="0" borderId="0" xfId="0" applyNumberFormat="1" applyFont="1"/>
    <xf numFmtId="10" fontId="19" fillId="0" borderId="0" xfId="4495" applyNumberFormat="1" applyFont="1"/>
    <xf numFmtId="10" fontId="123" fillId="0" borderId="0" xfId="4496" applyNumberFormat="1" applyFont="1" applyAlignment="1">
      <alignment horizontal="center" vertical="top" wrapText="1"/>
    </xf>
    <xf numFmtId="10" fontId="123" fillId="0" borderId="64" xfId="4496" applyNumberFormat="1" applyFont="1" applyBorder="1" applyAlignment="1">
      <alignment horizontal="center" vertical="top" wrapText="1"/>
    </xf>
    <xf numFmtId="10" fontId="123"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9" fillId="0" borderId="0" xfId="1192" quotePrefix="1" applyNumberFormat="1" applyAlignment="1">
      <alignment horizontal="center"/>
    </xf>
    <xf numFmtId="0" fontId="123" fillId="0" borderId="0" xfId="4495" applyFont="1"/>
    <xf numFmtId="10" fontId="123" fillId="0" borderId="0" xfId="4495" applyNumberFormat="1" applyFont="1"/>
    <xf numFmtId="172" fontId="19" fillId="0" borderId="0" xfId="4495" applyNumberFormat="1" applyFont="1"/>
    <xf numFmtId="0" fontId="42" fillId="0" borderId="0" xfId="0" applyFont="1" applyAlignment="1">
      <alignment horizontal="center"/>
    </xf>
    <xf numFmtId="0" fontId="38" fillId="0" borderId="0" xfId="0" applyFont="1" applyAlignment="1">
      <alignment horizontal="left"/>
    </xf>
    <xf numFmtId="0" fontId="0" fillId="0" borderId="10" xfId="0" applyBorder="1" applyAlignment="1">
      <alignment horizontal="left"/>
    </xf>
    <xf numFmtId="1" fontId="19" fillId="0" borderId="0" xfId="1192" applyNumberFormat="1" applyAlignment="1">
      <alignment horizontal="center"/>
    </xf>
    <xf numFmtId="0" fontId="121" fillId="0" borderId="63" xfId="4495" applyBorder="1"/>
    <xf numFmtId="0" fontId="55" fillId="0" borderId="0" xfId="271" applyFont="1" applyAlignment="1">
      <alignment vertical="top"/>
    </xf>
    <xf numFmtId="0" fontId="26" fillId="0" borderId="11" xfId="0" applyFont="1" applyBorder="1" applyAlignment="1">
      <alignment horizontal="right" vertical="top" wrapText="1"/>
    </xf>
    <xf numFmtId="0" fontId="28" fillId="0" borderId="11" xfId="271" applyBorder="1" applyAlignment="1" applyProtection="1">
      <alignment horizontal="right" vertical="top" wrapText="1"/>
      <protection locked="0"/>
    </xf>
    <xf numFmtId="0" fontId="19" fillId="0" borderId="54" xfId="4495" applyFont="1" applyBorder="1" applyAlignment="1">
      <alignment vertical="top"/>
    </xf>
    <xf numFmtId="9" fontId="28" fillId="0" borderId="0" xfId="0" applyNumberFormat="1" applyFont="1"/>
    <xf numFmtId="0" fontId="19" fillId="0" borderId="16" xfId="569" applyBorder="1" applyAlignment="1">
      <alignment horizontal="center"/>
    </xf>
    <xf numFmtId="164" fontId="19" fillId="0" borderId="57" xfId="4495" applyNumberFormat="1" applyFont="1" applyBorder="1" applyAlignment="1">
      <alignment vertical="top" wrapText="1"/>
    </xf>
    <xf numFmtId="164" fontId="19" fillId="0" borderId="58" xfId="4495" applyNumberFormat="1" applyFont="1" applyBorder="1" applyAlignment="1">
      <alignment vertical="top" wrapText="1"/>
    </xf>
    <xf numFmtId="164" fontId="19" fillId="0" borderId="59" xfId="4495" applyNumberFormat="1" applyFont="1" applyBorder="1" applyAlignment="1">
      <alignment vertical="top" wrapText="1"/>
    </xf>
    <xf numFmtId="0" fontId="26" fillId="0" borderId="0" xfId="1192" applyFont="1" applyAlignment="1">
      <alignment horizontal="left" vertical="top" wrapText="1"/>
    </xf>
    <xf numFmtId="0" fontId="19" fillId="0" borderId="16" xfId="569" applyBorder="1"/>
    <xf numFmtId="0" fontId="19" fillId="0" borderId="4" xfId="569" applyBorder="1"/>
    <xf numFmtId="0" fontId="26" fillId="0" borderId="4" xfId="569" applyFont="1" applyBorder="1"/>
    <xf numFmtId="49" fontId="19" fillId="0" borderId="4" xfId="569" applyNumberFormat="1" applyBorder="1"/>
    <xf numFmtId="0" fontId="149" fillId="0" borderId="0" xfId="0" applyFont="1"/>
    <xf numFmtId="0" fontId="19" fillId="0" borderId="0" xfId="0" applyFont="1" applyAlignment="1">
      <alignment horizontal="right"/>
    </xf>
    <xf numFmtId="1" fontId="19" fillId="0" borderId="0" xfId="0" applyNumberFormat="1" applyFont="1" applyAlignment="1">
      <alignment horizontal="center"/>
    </xf>
    <xf numFmtId="0" fontId="26" fillId="0" borderId="0" xfId="0" applyFont="1" applyAlignment="1">
      <alignment horizontal="left" vertical="center"/>
    </xf>
    <xf numFmtId="0" fontId="19" fillId="0" borderId="0" xfId="0" applyFont="1" applyAlignment="1">
      <alignment horizontal="left" vertical="center"/>
    </xf>
    <xf numFmtId="0" fontId="26" fillId="0" borderId="0" xfId="569" applyFont="1" applyAlignment="1">
      <alignment vertical="top"/>
    </xf>
    <xf numFmtId="0" fontId="20" fillId="0" borderId="0" xfId="244" applyAlignment="1"/>
    <xf numFmtId="0" fontId="26" fillId="0" borderId="0" xfId="0" applyFont="1" applyAlignment="1">
      <alignment vertical="top" wrapText="1"/>
    </xf>
    <xf numFmtId="49" fontId="26" fillId="0" borderId="0" xfId="0" applyNumberFormat="1" applyFont="1"/>
    <xf numFmtId="49" fontId="26" fillId="0" borderId="0" xfId="0" applyNumberFormat="1" applyFont="1" applyAlignment="1">
      <alignment vertical="top"/>
    </xf>
    <xf numFmtId="0" fontId="42" fillId="0" borderId="11" xfId="0" applyFont="1" applyBorder="1"/>
    <xf numFmtId="175" fontId="19" fillId="0" borderId="0" xfId="543" applyNumberFormat="1" applyAlignment="1">
      <alignment vertical="center"/>
    </xf>
    <xf numFmtId="0" fontId="99" fillId="43" borderId="6" xfId="4496" applyFont="1" applyFill="1" applyBorder="1" applyAlignment="1" applyProtection="1">
      <alignment horizontal="center"/>
      <protection locked="0"/>
    </xf>
    <xf numFmtId="0" fontId="99" fillId="0" borderId="0" xfId="4496" applyFont="1"/>
    <xf numFmtId="0" fontId="99" fillId="0" borderId="0" xfId="4496" applyFont="1" applyAlignment="1">
      <alignment wrapText="1"/>
    </xf>
    <xf numFmtId="0" fontId="137" fillId="0" borderId="0" xfId="4496" applyFont="1"/>
    <xf numFmtId="181" fontId="138" fillId="0" borderId="0" xfId="4498" applyNumberFormat="1" applyFont="1" applyBorder="1" applyProtection="1"/>
    <xf numFmtId="0" fontId="139" fillId="0" borderId="0" xfId="4496" applyFont="1" applyAlignment="1">
      <alignment vertical="center" wrapText="1"/>
    </xf>
    <xf numFmtId="49" fontId="99" fillId="0" borderId="0" xfId="4496" applyNumberFormat="1" applyFont="1" applyAlignment="1">
      <alignment horizontal="center"/>
    </xf>
    <xf numFmtId="182" fontId="99" fillId="0" borderId="6" xfId="4496" applyNumberFormat="1" applyFont="1" applyBorder="1"/>
    <xf numFmtId="0" fontId="99" fillId="0" borderId="0" xfId="4496" applyFont="1" applyAlignment="1">
      <alignment vertical="center"/>
    </xf>
    <xf numFmtId="182" fontId="99" fillId="0" borderId="0" xfId="4496" applyNumberFormat="1" applyFont="1" applyAlignment="1">
      <alignment vertical="center"/>
    </xf>
    <xf numFmtId="175" fontId="99" fillId="0" borderId="0" xfId="4499" applyNumberFormat="1" applyFont="1" applyFill="1" applyBorder="1" applyAlignment="1" applyProtection="1">
      <alignment horizontal="left" vertical="center"/>
    </xf>
    <xf numFmtId="9" fontId="99" fillId="0" borderId="0" xfId="4499" applyFont="1" applyFill="1" applyBorder="1" applyAlignment="1" applyProtection="1">
      <alignment vertical="center"/>
    </xf>
    <xf numFmtId="183" fontId="99" fillId="0" borderId="0" xfId="4496" applyNumberFormat="1" applyFont="1" applyAlignment="1">
      <alignment vertical="center" wrapText="1"/>
    </xf>
    <xf numFmtId="9" fontId="99" fillId="0" borderId="0" xfId="4499" applyFont="1" applyBorder="1" applyAlignment="1" applyProtection="1">
      <alignment vertical="center"/>
    </xf>
    <xf numFmtId="164" fontId="99" fillId="0" borderId="0" xfId="4496" applyNumberFormat="1" applyFont="1" applyAlignment="1">
      <alignment vertical="center" wrapText="1"/>
    </xf>
    <xf numFmtId="0" fontId="99" fillId="0" borderId="0" xfId="4496" applyFont="1" applyAlignment="1">
      <alignment horizontal="center" vertical="center"/>
    </xf>
    <xf numFmtId="182" fontId="99" fillId="0" borderId="11" xfId="8721" applyNumberFormat="1" applyFont="1" applyBorder="1" applyProtection="1"/>
    <xf numFmtId="182" fontId="99" fillId="0" borderId="11" xfId="4496" applyNumberFormat="1" applyFont="1" applyBorder="1"/>
    <xf numFmtId="164" fontId="99" fillId="0" borderId="0" xfId="4496" applyNumberFormat="1" applyFont="1" applyAlignment="1">
      <alignment wrapText="1"/>
    </xf>
    <xf numFmtId="49" fontId="99" fillId="0" borderId="0" xfId="4496" applyNumberFormat="1" applyFont="1" applyAlignment="1">
      <alignment horizontal="left"/>
    </xf>
    <xf numFmtId="0" fontId="140" fillId="0" borderId="0" xfId="4496" applyFont="1"/>
    <xf numFmtId="9" fontId="99" fillId="0" borderId="11" xfId="4494" applyFont="1" applyFill="1" applyBorder="1" applyAlignment="1" applyProtection="1">
      <alignment horizontal="right"/>
    </xf>
    <xf numFmtId="1" fontId="99" fillId="0" borderId="0" xfId="4496" applyNumberFormat="1" applyFont="1"/>
    <xf numFmtId="0" fontId="137" fillId="45" borderId="3" xfId="4496" applyFont="1" applyFill="1" applyBorder="1" applyAlignment="1">
      <alignment horizontal="left" indent="1"/>
    </xf>
    <xf numFmtId="0" fontId="99" fillId="45" borderId="4" xfId="4496" applyFont="1" applyFill="1" applyBorder="1"/>
    <xf numFmtId="2" fontId="99" fillId="45" borderId="5" xfId="4496" applyNumberFormat="1" applyFont="1" applyFill="1" applyBorder="1"/>
    <xf numFmtId="181" fontId="99" fillId="0" borderId="0" xfId="4496" applyNumberFormat="1" applyFont="1"/>
    <xf numFmtId="165" fontId="138" fillId="0" borderId="0" xfId="4499" applyNumberFormat="1" applyFont="1" applyFill="1" applyBorder="1" applyProtection="1"/>
    <xf numFmtId="9" fontId="99" fillId="0" borderId="0" xfId="4494" applyFont="1" applyFill="1" applyProtection="1"/>
    <xf numFmtId="0" fontId="99" fillId="0" borderId="11" xfId="4496" applyFont="1" applyBorder="1" applyAlignment="1">
      <alignment horizontal="center"/>
    </xf>
    <xf numFmtId="2" fontId="99" fillId="0" borderId="11" xfId="4496" applyNumberFormat="1" applyFont="1" applyBorder="1" applyAlignment="1">
      <alignment horizontal="center"/>
    </xf>
    <xf numFmtId="0" fontId="99" fillId="0" borderId="0" xfId="4496" applyFont="1" applyAlignment="1">
      <alignment vertical="top" wrapText="1"/>
    </xf>
    <xf numFmtId="0" fontId="99" fillId="0" borderId="11" xfId="4496" applyFont="1" applyBorder="1" applyAlignment="1">
      <alignment horizontal="center" vertical="top" wrapText="1"/>
    </xf>
    <xf numFmtId="182" fontId="99" fillId="0" borderId="0" xfId="8721" applyNumberFormat="1" applyFont="1" applyBorder="1" applyProtection="1"/>
    <xf numFmtId="0" fontId="99" fillId="0" borderId="0" xfId="4496" applyFont="1" applyAlignment="1">
      <alignment horizontal="left" indent="1"/>
    </xf>
    <xf numFmtId="182" fontId="99" fillId="0" borderId="0" xfId="4496" applyNumberFormat="1" applyFont="1"/>
    <xf numFmtId="184" fontId="99" fillId="0" borderId="0" xfId="4496" applyNumberFormat="1" applyFont="1"/>
    <xf numFmtId="0" fontId="99" fillId="0" borderId="0" xfId="4496" applyFont="1" applyAlignment="1">
      <alignment horizontal="left"/>
    </xf>
    <xf numFmtId="0" fontId="99" fillId="0" borderId="0" xfId="4496" applyFont="1" applyAlignment="1">
      <alignment horizontal="center"/>
    </xf>
    <xf numFmtId="3" fontId="24" fillId="0" borderId="11" xfId="271" applyNumberFormat="1" applyFont="1" applyBorder="1" applyAlignment="1">
      <alignment horizontal="center"/>
    </xf>
    <xf numFmtId="3" fontId="24" fillId="43" borderId="11" xfId="271" applyNumberFormat="1" applyFont="1" applyFill="1" applyBorder="1" applyProtection="1">
      <protection locked="0"/>
    </xf>
    <xf numFmtId="0" fontId="99" fillId="0" borderId="0" xfId="4496" applyFont="1" applyAlignment="1">
      <alignment horizontal="right"/>
    </xf>
    <xf numFmtId="168" fontId="28" fillId="0" borderId="0" xfId="0" applyNumberFormat="1" applyFont="1"/>
    <xf numFmtId="0" fontId="99" fillId="0" borderId="15" xfId="4496" applyFont="1" applyBorder="1" applyAlignment="1">
      <alignment horizontal="center" vertical="top" wrapText="1"/>
    </xf>
    <xf numFmtId="2" fontId="99" fillId="0" borderId="15" xfId="4496" applyNumberFormat="1" applyFont="1" applyBorder="1" applyAlignment="1">
      <alignment horizontal="center"/>
    </xf>
    <xf numFmtId="0" fontId="99" fillId="0" borderId="15" xfId="4496" applyFont="1" applyBorder="1" applyAlignment="1">
      <alignment horizontal="center"/>
    </xf>
    <xf numFmtId="0" fontId="137" fillId="0" borderId="68" xfId="4496" applyFont="1" applyBorder="1" applyAlignment="1">
      <alignment horizontal="center" vertical="top" wrapText="1"/>
    </xf>
    <xf numFmtId="0" fontId="137" fillId="0" borderId="68" xfId="4496" applyFont="1" applyBorder="1" applyAlignment="1">
      <alignment horizontal="center"/>
    </xf>
    <xf numFmtId="0" fontId="151" fillId="0" borderId="0" xfId="4496" applyFont="1" applyAlignment="1">
      <alignment horizontal="right" vertical="center"/>
    </xf>
    <xf numFmtId="175" fontId="99" fillId="0" borderId="0" xfId="4499" applyNumberFormat="1" applyFont="1" applyFill="1" applyBorder="1" applyAlignment="1" applyProtection="1">
      <alignment horizontal="right" vertical="center"/>
    </xf>
    <xf numFmtId="0" fontId="99" fillId="0" borderId="66" xfId="4496" applyFont="1" applyBorder="1" applyAlignment="1">
      <alignment vertical="center"/>
    </xf>
    <xf numFmtId="0" fontId="99" fillId="0" borderId="41" xfId="4496" applyFont="1" applyBorder="1" applyAlignment="1">
      <alignment vertical="center"/>
    </xf>
    <xf numFmtId="182" fontId="99" fillId="0" borderId="73" xfId="4496" applyNumberFormat="1" applyFont="1" applyBorder="1" applyAlignment="1">
      <alignment vertical="center"/>
    </xf>
    <xf numFmtId="175" fontId="99" fillId="0" borderId="42" xfId="4499" applyNumberFormat="1" applyFont="1" applyFill="1" applyBorder="1" applyAlignment="1" applyProtection="1">
      <alignment horizontal="left" vertical="center"/>
    </xf>
    <xf numFmtId="0" fontId="99" fillId="0" borderId="42" xfId="4496" applyFont="1" applyBorder="1" applyAlignment="1">
      <alignment vertical="center"/>
    </xf>
    <xf numFmtId="0" fontId="99" fillId="0" borderId="44" xfId="4496" applyFont="1" applyBorder="1" applyAlignment="1">
      <alignment vertical="center"/>
    </xf>
    <xf numFmtId="49" fontId="99" fillId="0" borderId="0" xfId="4496" applyNumberFormat="1" applyFont="1" applyAlignment="1">
      <alignment horizontal="center" vertical="center"/>
    </xf>
    <xf numFmtId="0" fontId="99" fillId="0" borderId="65" xfId="4496" applyFont="1" applyBorder="1" applyAlignment="1">
      <alignment vertical="center"/>
    </xf>
    <xf numFmtId="0" fontId="99" fillId="0" borderId="29" xfId="4496" applyFont="1" applyBorder="1" applyAlignment="1">
      <alignment vertical="center"/>
    </xf>
    <xf numFmtId="0" fontId="99" fillId="0" borderId="29" xfId="4496" applyFont="1" applyBorder="1" applyAlignment="1">
      <alignment horizontal="right" vertical="center"/>
    </xf>
    <xf numFmtId="5" fontId="99" fillId="0" borderId="29" xfId="4496" applyNumberFormat="1" applyFont="1" applyBorder="1" applyAlignment="1">
      <alignment vertical="center"/>
    </xf>
    <xf numFmtId="0" fontId="99" fillId="0" borderId="31" xfId="4496" applyFont="1" applyBorder="1" applyAlignment="1">
      <alignment vertical="center"/>
    </xf>
    <xf numFmtId="175" fontId="137" fillId="0" borderId="42" xfId="4494" applyNumberFormat="1" applyFont="1" applyFill="1" applyBorder="1" applyAlignment="1" applyProtection="1">
      <alignment horizontal="center" vertical="center"/>
    </xf>
    <xf numFmtId="0" fontId="137" fillId="0" borderId="29" xfId="4496" applyFont="1" applyBorder="1" applyAlignment="1">
      <alignment vertical="center"/>
    </xf>
    <xf numFmtId="0" fontId="137" fillId="0" borderId="0" xfId="4496" applyFont="1" applyAlignment="1">
      <alignment vertical="center"/>
    </xf>
    <xf numFmtId="0" fontId="137" fillId="0" borderId="42" xfId="4496" applyFont="1" applyBorder="1" applyAlignment="1">
      <alignment vertical="center"/>
    </xf>
    <xf numFmtId="9" fontId="137" fillId="0" borderId="42" xfId="4499" applyFont="1" applyFill="1" applyBorder="1" applyAlignment="1" applyProtection="1">
      <alignment vertical="center"/>
    </xf>
    <xf numFmtId="182" fontId="137" fillId="0" borderId="68" xfId="8721" applyNumberFormat="1" applyFont="1" applyBorder="1" applyProtection="1"/>
    <xf numFmtId="182" fontId="137" fillId="0" borderId="68" xfId="4496" applyNumberFormat="1" applyFont="1" applyBorder="1"/>
    <xf numFmtId="0" fontId="151" fillId="0" borderId="0" xfId="4496" applyFont="1" applyAlignment="1">
      <alignment horizontal="right"/>
    </xf>
    <xf numFmtId="0" fontId="99" fillId="0" borderId="0" xfId="4496" applyFont="1" applyAlignment="1">
      <alignment horizontal="right" vertical="top" wrapText="1" indent="1"/>
    </xf>
    <xf numFmtId="182" fontId="99" fillId="0" borderId="6" xfId="8721" applyNumberFormat="1" applyFont="1" applyBorder="1" applyAlignment="1" applyProtection="1">
      <alignment horizontal="center"/>
    </xf>
    <xf numFmtId="0" fontId="99" fillId="0" borderId="0" xfId="4496" applyFont="1" applyAlignment="1">
      <alignment horizontal="right" indent="1"/>
    </xf>
    <xf numFmtId="0" fontId="99" fillId="0" borderId="0" xfId="4496" applyFont="1" applyAlignment="1">
      <alignment horizontal="right" vertical="top"/>
    </xf>
    <xf numFmtId="0" fontId="137" fillId="0" borderId="0" xfId="4496" applyFont="1" applyAlignment="1">
      <alignment horizontal="right"/>
    </xf>
    <xf numFmtId="182" fontId="137" fillId="0" borderId="0" xfId="8721" applyNumberFormat="1" applyFont="1" applyBorder="1" applyAlignment="1" applyProtection="1">
      <alignment horizontal="center"/>
    </xf>
    <xf numFmtId="10" fontId="99" fillId="0" borderId="0" xfId="4494" applyNumberFormat="1" applyFont="1" applyBorder="1" applyAlignment="1" applyProtection="1">
      <alignment horizontal="center"/>
    </xf>
    <xf numFmtId="184" fontId="99" fillId="0" borderId="6" xfId="4496" applyNumberFormat="1" applyFont="1" applyBorder="1"/>
    <xf numFmtId="0" fontId="137" fillId="0" borderId="0" xfId="4496" applyFont="1" applyAlignment="1">
      <alignment horizontal="right" vertical="top"/>
    </xf>
    <xf numFmtId="182" fontId="137" fillId="0" borderId="0" xfId="4496" applyNumberFormat="1" applyFont="1"/>
    <xf numFmtId="182" fontId="99" fillId="0" borderId="6" xfId="8721" applyNumberFormat="1" applyFont="1" applyBorder="1" applyProtection="1"/>
    <xf numFmtId="184" fontId="99" fillId="0" borderId="0" xfId="4496" applyNumberFormat="1" applyFont="1" applyAlignment="1">
      <alignment horizontal="center"/>
    </xf>
    <xf numFmtId="0" fontId="99" fillId="0" borderId="6" xfId="4496" applyFont="1" applyBorder="1" applyAlignment="1">
      <alignment horizontal="right" vertical="top" wrapText="1" indent="1"/>
    </xf>
    <xf numFmtId="0" fontId="99" fillId="0" borderId="67" xfId="4496" applyFont="1" applyBorder="1" applyAlignment="1">
      <alignment horizontal="right" indent="1"/>
    </xf>
    <xf numFmtId="0" fontId="99" fillId="0" borderId="72" xfId="4496" applyFont="1" applyBorder="1" applyAlignment="1">
      <alignment horizontal="right" indent="1"/>
    </xf>
    <xf numFmtId="0" fontId="99" fillId="0" borderId="72" xfId="4496" quotePrefix="1" applyFont="1" applyBorder="1" applyAlignment="1">
      <alignment horizontal="right" indent="1"/>
    </xf>
    <xf numFmtId="0" fontId="99" fillId="0" borderId="69" xfId="4496" applyFont="1" applyBorder="1" applyAlignment="1">
      <alignment horizontal="right" indent="1"/>
    </xf>
    <xf numFmtId="182" fontId="99" fillId="0" borderId="71" xfId="4496" applyNumberFormat="1" applyFont="1" applyBorder="1"/>
    <xf numFmtId="182" fontId="99" fillId="0" borderId="76" xfId="4496" applyNumberFormat="1" applyFont="1" applyBorder="1"/>
    <xf numFmtId="182" fontId="99" fillId="0" borderId="77" xfId="4496" applyNumberFormat="1" applyFont="1" applyBorder="1"/>
    <xf numFmtId="175" fontId="26" fillId="0" borderId="0" xfId="543" applyNumberFormat="1" applyFont="1" applyAlignment="1">
      <alignment vertical="center"/>
    </xf>
    <xf numFmtId="10" fontId="137" fillId="0" borderId="0" xfId="4494" applyNumberFormat="1" applyFont="1" applyProtection="1"/>
    <xf numFmtId="0" fontId="26" fillId="0" borderId="0" xfId="1192" applyFont="1" applyAlignment="1">
      <alignment horizontal="left" indent="1"/>
    </xf>
    <xf numFmtId="168" fontId="99" fillId="0" borderId="11" xfId="4499" applyNumberFormat="1" applyFont="1" applyFill="1" applyBorder="1" applyAlignment="1" applyProtection="1">
      <alignment horizontal="left" vertical="center" indent="1"/>
    </xf>
    <xf numFmtId="168" fontId="137" fillId="0" borderId="68" xfId="4499" applyNumberFormat="1" applyFont="1" applyFill="1" applyBorder="1" applyAlignment="1" applyProtection="1">
      <alignment horizontal="left" vertical="center" indent="1"/>
    </xf>
    <xf numFmtId="182" fontId="99" fillId="0" borderId="13" xfId="4496" applyNumberFormat="1" applyFont="1" applyBorder="1"/>
    <xf numFmtId="182" fontId="99" fillId="0" borderId="70" xfId="4496" applyNumberFormat="1" applyFont="1" applyBorder="1"/>
    <xf numFmtId="0" fontId="37" fillId="0" borderId="0" xfId="4495" applyFont="1" applyAlignment="1">
      <alignment vertical="center"/>
    </xf>
    <xf numFmtId="0" fontId="123" fillId="0" borderId="0" xfId="4496" applyFont="1" applyAlignment="1">
      <alignment vertical="center" wrapText="1"/>
    </xf>
    <xf numFmtId="0" fontId="24" fillId="43" borderId="0" xfId="1192" applyFont="1" applyFill="1"/>
    <xf numFmtId="3" fontId="70" fillId="43" borderId="6" xfId="1192" applyNumberFormat="1" applyFont="1" applyFill="1" applyBorder="1"/>
    <xf numFmtId="0" fontId="153" fillId="0" borderId="0" xfId="0" applyFont="1"/>
    <xf numFmtId="0" fontId="24" fillId="0" borderId="11" xfId="253" applyFont="1" applyBorder="1" applyAlignment="1" applyProtection="1">
      <alignment horizontal="center" wrapText="1"/>
      <protection locked="0"/>
    </xf>
    <xf numFmtId="0" fontId="154" fillId="0" borderId="0" xfId="0" applyFont="1"/>
    <xf numFmtId="0" fontId="155" fillId="0" borderId="0" xfId="0" applyFont="1" applyAlignment="1">
      <alignment horizontal="center"/>
    </xf>
    <xf numFmtId="0" fontId="55" fillId="5" borderId="11" xfId="0" applyFont="1" applyFill="1" applyBorder="1" applyAlignment="1" applyProtection="1">
      <alignment horizontal="right" vertical="top" wrapText="1"/>
      <protection locked="0"/>
    </xf>
    <xf numFmtId="0" fontId="19" fillId="43" borderId="3" xfId="569" applyFill="1" applyBorder="1"/>
    <xf numFmtId="0" fontId="158" fillId="0" borderId="0" xfId="0" applyFont="1" applyAlignment="1">
      <alignment horizontal="right"/>
    </xf>
    <xf numFmtId="1" fontId="27" fillId="0" borderId="0" xfId="4495" applyNumberFormat="1" applyFont="1"/>
    <xf numFmtId="0" fontId="26" fillId="0" borderId="4" xfId="569" applyFont="1" applyBorder="1" applyAlignment="1">
      <alignment horizontal="center"/>
    </xf>
    <xf numFmtId="43" fontId="26" fillId="0" borderId="0" xfId="4503" applyFont="1" applyAlignment="1" applyProtection="1">
      <alignment horizontal="center"/>
    </xf>
    <xf numFmtId="0" fontId="26" fillId="0" borderId="0" xfId="569" applyFont="1" applyAlignment="1">
      <alignment horizontal="center" vertical="center"/>
    </xf>
    <xf numFmtId="0" fontId="26" fillId="0" borderId="16" xfId="569" applyFont="1" applyBorder="1" applyAlignment="1">
      <alignment horizontal="center"/>
    </xf>
    <xf numFmtId="49" fontId="26" fillId="0" borderId="4" xfId="569" applyNumberFormat="1" applyFont="1" applyBorder="1" applyAlignment="1">
      <alignment horizontal="center"/>
    </xf>
    <xf numFmtId="4" fontId="26" fillId="0" borderId="0" xfId="569" applyNumberFormat="1" applyFont="1" applyAlignment="1">
      <alignment horizontal="center"/>
    </xf>
    <xf numFmtId="0" fontId="19" fillId="0" borderId="0" xfId="569" applyAlignment="1">
      <alignment horizontal="center" wrapText="1"/>
    </xf>
    <xf numFmtId="0" fontId="19" fillId="0" borderId="0" xfId="0" applyFont="1" applyAlignment="1">
      <alignment vertical="center" wrapText="1"/>
    </xf>
    <xf numFmtId="3" fontId="24" fillId="43" borderId="11" xfId="271" applyNumberFormat="1" applyFont="1" applyFill="1" applyBorder="1" applyAlignment="1" applyProtection="1">
      <alignment horizontal="left"/>
      <protection locked="0"/>
    </xf>
    <xf numFmtId="0" fontId="99" fillId="43" borderId="6" xfId="4496" applyFont="1" applyFill="1" applyBorder="1" applyProtection="1">
      <protection locked="0"/>
    </xf>
    <xf numFmtId="1" fontId="99" fillId="0" borderId="0" xfId="4496" applyNumberFormat="1" applyFont="1" applyProtection="1">
      <protection locked="0"/>
    </xf>
    <xf numFmtId="182" fontId="163" fillId="0" borderId="11" xfId="4496" applyNumberFormat="1" applyFont="1" applyBorder="1"/>
    <xf numFmtId="44" fontId="99" fillId="0" borderId="0" xfId="4496" applyNumberFormat="1" applyFont="1"/>
    <xf numFmtId="182" fontId="24" fillId="0" borderId="11" xfId="4496" applyNumberFormat="1" applyFont="1" applyBorder="1"/>
    <xf numFmtId="9" fontId="99" fillId="0" borderId="0" xfId="4494" applyFont="1"/>
    <xf numFmtId="182" fontId="99" fillId="43" borderId="6" xfId="8721" applyNumberFormat="1" applyFont="1" applyFill="1" applyBorder="1" applyProtection="1">
      <protection locked="0"/>
    </xf>
    <xf numFmtId="0" fontId="19" fillId="0" borderId="0" xfId="4495" applyFont="1" applyAlignment="1">
      <alignment wrapText="1"/>
    </xf>
    <xf numFmtId="168" fontId="175" fillId="48" borderId="79" xfId="700" applyNumberFormat="1" applyFont="1" applyFill="1" applyBorder="1" applyAlignment="1" applyProtection="1">
      <protection locked="0"/>
    </xf>
    <xf numFmtId="3" fontId="47" fillId="10" borderId="0" xfId="543" applyNumberFormat="1" applyFont="1" applyFill="1" applyAlignment="1">
      <alignment vertical="center" wrapText="1"/>
    </xf>
    <xf numFmtId="0" fontId="182" fillId="0" borderId="0" xfId="543" applyFont="1" applyAlignment="1">
      <alignment horizontal="left" vertical="center"/>
    </xf>
    <xf numFmtId="0" fontId="183" fillId="0" borderId="0" xfId="543" applyFont="1" applyAlignment="1">
      <alignment horizontal="right" vertical="top" wrapText="1"/>
    </xf>
    <xf numFmtId="168" fontId="183" fillId="0" borderId="0" xfId="543" applyNumberFormat="1" applyFont="1" applyAlignment="1">
      <alignment horizontal="center" vertical="center"/>
    </xf>
    <xf numFmtId="0" fontId="184" fillId="0" borderId="0" xfId="543" applyFont="1" applyAlignment="1">
      <alignment horizontal="left" vertical="center"/>
    </xf>
    <xf numFmtId="0" fontId="184" fillId="0" borderId="0" xfId="543" applyFont="1" applyAlignment="1">
      <alignment horizontal="right" vertical="top" wrapText="1"/>
    </xf>
    <xf numFmtId="168" fontId="183" fillId="0" borderId="104" xfId="543" applyNumberFormat="1" applyFont="1" applyBorder="1" applyAlignment="1">
      <alignment horizontal="center" vertical="center"/>
    </xf>
    <xf numFmtId="0" fontId="184" fillId="0" borderId="106" xfId="543" applyFont="1" applyBorder="1" applyAlignment="1">
      <alignment horizontal="right" vertical="top" wrapText="1"/>
    </xf>
    <xf numFmtId="0" fontId="26" fillId="0" borderId="0" xfId="4495" applyFont="1" applyAlignment="1">
      <alignment wrapText="1"/>
    </xf>
    <xf numFmtId="182" fontId="19" fillId="0" borderId="0" xfId="700" applyNumberFormat="1" applyFont="1"/>
    <xf numFmtId="9" fontId="19" fillId="0" borderId="0" xfId="1022" applyFont="1"/>
    <xf numFmtId="168" fontId="19"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3" fillId="52" borderId="113" xfId="0" applyFont="1" applyFill="1" applyBorder="1"/>
    <xf numFmtId="0" fontId="123" fillId="53" borderId="113" xfId="0" applyFont="1" applyFill="1" applyBorder="1"/>
    <xf numFmtId="1" fontId="0" fillId="0" borderId="0" xfId="0" applyNumberFormat="1"/>
    <xf numFmtId="0" fontId="20"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20" fillId="0" borderId="0" xfId="244" applyAlignment="1">
      <alignment horizontal="left" vertical="top"/>
    </xf>
    <xf numFmtId="9" fontId="19" fillId="0" borderId="0" xfId="0" applyNumberFormat="1" applyFont="1"/>
    <xf numFmtId="185" fontId="169" fillId="0" borderId="0" xfId="698" applyNumberFormat="1" applyFont="1"/>
    <xf numFmtId="0" fontId="186" fillId="0" borderId="0" xfId="0" applyFont="1" applyAlignment="1">
      <alignment horizontal="center"/>
    </xf>
    <xf numFmtId="0" fontId="19" fillId="0" borderId="0" xfId="569" quotePrefix="1"/>
    <xf numFmtId="168" fontId="156" fillId="0" borderId="0" xfId="0" applyNumberFormat="1" applyFont="1" applyAlignment="1">
      <alignment vertical="center" wrapText="1"/>
    </xf>
    <xf numFmtId="168" fontId="187" fillId="0" borderId="0" xfId="0" applyNumberFormat="1" applyFont="1" applyAlignment="1">
      <alignment horizontal="center" vertical="center" wrapText="1"/>
    </xf>
    <xf numFmtId="0" fontId="0" fillId="0" borderId="0" xfId="0" applyAlignment="1">
      <alignment vertical="center"/>
    </xf>
    <xf numFmtId="0" fontId="26" fillId="0" borderId="0" xfId="4495" applyFont="1" applyAlignment="1">
      <alignment horizontal="left" vertical="center"/>
    </xf>
    <xf numFmtId="0" fontId="26" fillId="0" borderId="0" xfId="4495" applyFont="1" applyAlignment="1">
      <alignment vertical="center"/>
    </xf>
    <xf numFmtId="0" fontId="123" fillId="0" borderId="58" xfId="4496" applyFont="1" applyBorder="1" applyAlignment="1">
      <alignment vertical="center"/>
    </xf>
    <xf numFmtId="0" fontId="26" fillId="0" borderId="5" xfId="4495" applyFont="1" applyBorder="1"/>
    <xf numFmtId="182" fontId="99" fillId="0" borderId="6" xfId="4496" applyNumberFormat="1" applyFont="1" applyBorder="1" applyAlignment="1">
      <alignment vertical="center"/>
    </xf>
    <xf numFmtId="1" fontId="99" fillId="0" borderId="0" xfId="4496" applyNumberFormat="1" applyFont="1" applyAlignment="1">
      <alignment horizontal="right" vertical="top" wrapText="1" indent="1"/>
    </xf>
    <xf numFmtId="3" fontId="99" fillId="43" borderId="6" xfId="4496" applyNumberFormat="1" applyFont="1" applyFill="1" applyBorder="1" applyAlignment="1" applyProtection="1">
      <alignment horizontal="center"/>
      <protection locked="0"/>
    </xf>
    <xf numFmtId="0" fontId="3" fillId="0" borderId="0" xfId="8736"/>
    <xf numFmtId="0" fontId="169" fillId="0" borderId="0" xfId="8736" applyFont="1"/>
    <xf numFmtId="0" fontId="104" fillId="0" borderId="0" xfId="8736" applyFont="1"/>
    <xf numFmtId="0" fontId="3" fillId="47" borderId="66" xfId="8736" applyFill="1" applyBorder="1"/>
    <xf numFmtId="0" fontId="3" fillId="47" borderId="0" xfId="8736" applyFill="1"/>
    <xf numFmtId="0" fontId="103" fillId="47" borderId="0" xfId="8736" applyFont="1" applyFill="1"/>
    <xf numFmtId="9" fontId="3" fillId="44" borderId="3" xfId="1022" applyFont="1" applyFill="1" applyBorder="1" applyAlignment="1">
      <alignment horizontal="centerContinuous"/>
    </xf>
    <xf numFmtId="9" fontId="3" fillId="44" borderId="4" xfId="1022" applyFont="1" applyFill="1" applyBorder="1" applyAlignment="1">
      <alignment horizontal="centerContinuous"/>
    </xf>
    <xf numFmtId="9" fontId="3" fillId="44" borderId="5" xfId="1022" applyFont="1" applyFill="1" applyBorder="1" applyAlignment="1">
      <alignment horizontal="centerContinuous"/>
    </xf>
    <xf numFmtId="0" fontId="103" fillId="47" borderId="41" xfId="8736" applyFont="1" applyFill="1" applyBorder="1" applyAlignment="1">
      <alignment horizontal="center"/>
    </xf>
    <xf numFmtId="182" fontId="174" fillId="47" borderId="0" xfId="8737" applyNumberFormat="1" applyFont="1" applyFill="1" applyBorder="1" applyAlignment="1"/>
    <xf numFmtId="0" fontId="3" fillId="47" borderId="41" xfId="8736" applyFill="1" applyBorder="1"/>
    <xf numFmtId="0" fontId="104" fillId="47" borderId="0" xfId="8736" applyFont="1" applyFill="1"/>
    <xf numFmtId="0" fontId="178" fillId="47" borderId="0" xfId="8736" applyFont="1" applyFill="1"/>
    <xf numFmtId="0" fontId="103" fillId="47" borderId="41" xfId="8736" applyFont="1" applyFill="1" applyBorder="1"/>
    <xf numFmtId="0" fontId="103" fillId="0" borderId="0" xfId="8736" applyFont="1"/>
    <xf numFmtId="0" fontId="166" fillId="0" borderId="0" xfId="8736" applyFont="1"/>
    <xf numFmtId="0" fontId="103" fillId="54" borderId="100" xfId="8736" applyFont="1" applyFill="1" applyBorder="1"/>
    <xf numFmtId="0" fontId="3" fillId="53" borderId="99" xfId="8736" applyFill="1" applyBorder="1"/>
    <xf numFmtId="0" fontId="3" fillId="52" borderId="99" xfId="8736" applyFill="1" applyBorder="1"/>
    <xf numFmtId="0" fontId="103" fillId="45" borderId="65" xfId="8736" applyFont="1" applyFill="1" applyBorder="1"/>
    <xf numFmtId="0" fontId="3" fillId="45" borderId="80" xfId="8736" applyFill="1" applyBorder="1"/>
    <xf numFmtId="0" fontId="3" fillId="45" borderId="79" xfId="8736" applyFill="1" applyBorder="1"/>
    <xf numFmtId="0" fontId="3" fillId="45" borderId="78" xfId="8736" applyFill="1" applyBorder="1"/>
    <xf numFmtId="0" fontId="103" fillId="45" borderId="0" xfId="8736" applyFont="1" applyFill="1"/>
    <xf numFmtId="0" fontId="103" fillId="45" borderId="12" xfId="8736" applyFont="1" applyFill="1" applyBorder="1"/>
    <xf numFmtId="0" fontId="103" fillId="45" borderId="29" xfId="8736" applyFont="1" applyFill="1" applyBorder="1"/>
    <xf numFmtId="0" fontId="103" fillId="45" borderId="80" xfId="8736" applyFont="1" applyFill="1" applyBorder="1"/>
    <xf numFmtId="0" fontId="103" fillId="45" borderId="79" xfId="8736" applyFont="1" applyFill="1" applyBorder="1"/>
    <xf numFmtId="0" fontId="103" fillId="45" borderId="78" xfId="8736" applyFont="1" applyFill="1" applyBorder="1"/>
    <xf numFmtId="0" fontId="103" fillId="45" borderId="93" xfId="8736" applyFont="1" applyFill="1" applyBorder="1"/>
    <xf numFmtId="0" fontId="103" fillId="45" borderId="6" xfId="8736" applyFont="1" applyFill="1" applyBorder="1"/>
    <xf numFmtId="0" fontId="103" fillId="45" borderId="10" xfId="8736" applyFont="1" applyFill="1" applyBorder="1"/>
    <xf numFmtId="0" fontId="169" fillId="44" borderId="0" xfId="8736" applyFont="1" applyFill="1"/>
    <xf numFmtId="10" fontId="169" fillId="44" borderId="0" xfId="1022" applyNumberFormat="1" applyFont="1" applyFill="1"/>
    <xf numFmtId="0" fontId="3" fillId="45" borderId="29" xfId="8736" applyFill="1" applyBorder="1"/>
    <xf numFmtId="0" fontId="3" fillId="45" borderId="31" xfId="8736" applyFill="1" applyBorder="1"/>
    <xf numFmtId="0" fontId="103" fillId="45" borderId="92" xfId="8736" applyFont="1" applyFill="1" applyBorder="1"/>
    <xf numFmtId="0" fontId="103" fillId="45" borderId="74" xfId="8736" applyFont="1" applyFill="1" applyBorder="1"/>
    <xf numFmtId="0" fontId="180" fillId="47" borderId="0" xfId="8736" applyFont="1" applyFill="1"/>
    <xf numFmtId="0" fontId="103" fillId="45" borderId="31" xfId="8736" applyFont="1" applyFill="1" applyBorder="1"/>
    <xf numFmtId="0" fontId="3" fillId="47" borderId="0" xfId="8736" applyFill="1" applyAlignment="1">
      <alignment horizontal="left"/>
    </xf>
    <xf numFmtId="0" fontId="172" fillId="51" borderId="11" xfId="8736" applyFont="1" applyFill="1" applyBorder="1"/>
    <xf numFmtId="0" fontId="172" fillId="51" borderId="76" xfId="8736" applyFont="1" applyFill="1" applyBorder="1"/>
    <xf numFmtId="0" fontId="173" fillId="51" borderId="11" xfId="8736" applyFont="1" applyFill="1" applyBorder="1" applyAlignment="1">
      <alignment horizontal="center"/>
    </xf>
    <xf numFmtId="0" fontId="173" fillId="51" borderId="76" xfId="8736" applyFont="1" applyFill="1" applyBorder="1" applyAlignment="1">
      <alignment horizontal="center"/>
    </xf>
    <xf numFmtId="0" fontId="3" fillId="48" borderId="66" xfId="8736" applyFill="1" applyBorder="1"/>
    <xf numFmtId="0" fontId="3" fillId="48" borderId="0" xfId="8736" applyFill="1"/>
    <xf numFmtId="0" fontId="3" fillId="48" borderId="78" xfId="8736" applyFill="1" applyBorder="1"/>
    <xf numFmtId="0" fontId="103" fillId="47" borderId="66" xfId="8736" applyFont="1" applyFill="1" applyBorder="1"/>
    <xf numFmtId="49" fontId="103" fillId="47" borderId="66" xfId="8736" applyNumberFormat="1" applyFont="1" applyFill="1" applyBorder="1" applyAlignment="1">
      <alignment horizontal="right" vertical="top"/>
    </xf>
    <xf numFmtId="0" fontId="3" fillId="47" borderId="73" xfId="8736" applyFill="1" applyBorder="1"/>
    <xf numFmtId="0" fontId="3" fillId="47" borderId="42" xfId="8736" applyFill="1" applyBorder="1"/>
    <xf numFmtId="0" fontId="3" fillId="47" borderId="44" xfId="8736" applyFill="1" applyBorder="1"/>
    <xf numFmtId="0" fontId="3" fillId="44" borderId="66" xfId="8736" applyFill="1" applyBorder="1"/>
    <xf numFmtId="0" fontId="3" fillId="44" borderId="0" xfId="8736" applyFill="1"/>
    <xf numFmtId="0" fontId="3" fillId="44" borderId="41" xfId="8736" applyFill="1" applyBorder="1"/>
    <xf numFmtId="0" fontId="3" fillId="44" borderId="0" xfId="8736" applyFill="1" applyAlignment="1">
      <alignment horizontal="left"/>
    </xf>
    <xf numFmtId="0" fontId="3" fillId="44" borderId="73" xfId="8736" applyFill="1" applyBorder="1"/>
    <xf numFmtId="0" fontId="3" fillId="44" borderId="42" xfId="8736" applyFill="1" applyBorder="1"/>
    <xf numFmtId="0" fontId="3" fillId="44" borderId="44" xfId="8736" applyFill="1" applyBorder="1"/>
    <xf numFmtId="0" fontId="164" fillId="0" borderId="0" xfId="8736" applyFont="1"/>
    <xf numFmtId="49" fontId="19" fillId="0" borderId="0" xfId="1192" applyNumberFormat="1" applyAlignment="1">
      <alignment horizontal="left" vertical="top" wrapText="1"/>
    </xf>
    <xf numFmtId="0" fontId="0" fillId="5" borderId="6" xfId="0" applyFill="1" applyBorder="1" applyProtection="1">
      <protection locked="0"/>
    </xf>
    <xf numFmtId="0" fontId="27" fillId="0" borderId="0" xfId="0" applyFont="1" applyAlignment="1">
      <alignment horizontal="left" vertical="top" wrapText="1"/>
    </xf>
    <xf numFmtId="0" fontId="26" fillId="0" borderId="0" xfId="9602" applyFont="1" applyAlignment="1">
      <alignment vertical="top"/>
    </xf>
    <xf numFmtId="0" fontId="19" fillId="0" borderId="0" xfId="1192" applyAlignment="1">
      <alignment horizontal="left" wrapText="1"/>
    </xf>
    <xf numFmtId="49" fontId="0" fillId="0" borderId="0" xfId="0" applyNumberFormat="1"/>
    <xf numFmtId="49" fontId="19" fillId="0" borderId="0" xfId="1192" applyNumberFormat="1"/>
    <xf numFmtId="0" fontId="27" fillId="0" borderId="114" xfId="0" applyFont="1" applyBorder="1"/>
    <xf numFmtId="0" fontId="26" fillId="0" borderId="114" xfId="0" applyFont="1" applyBorder="1"/>
    <xf numFmtId="0" fontId="27" fillId="0" borderId="114" xfId="0" applyFont="1" applyBorder="1" applyAlignment="1">
      <alignment horizontal="left" vertical="top"/>
    </xf>
    <xf numFmtId="0" fontId="19" fillId="0" borderId="114" xfId="0" applyFont="1" applyBorder="1" applyAlignment="1">
      <alignment horizontal="left" vertical="top"/>
    </xf>
    <xf numFmtId="0" fontId="26" fillId="0" borderId="114" xfId="0" applyFont="1" applyBorder="1" applyAlignment="1">
      <alignment horizontal="right"/>
    </xf>
    <xf numFmtId="0" fontId="19" fillId="0" borderId="114" xfId="0" applyFont="1" applyBorder="1" applyAlignment="1">
      <alignment horizontal="center"/>
    </xf>
    <xf numFmtId="0" fontId="27" fillId="0" borderId="8" xfId="0" applyFont="1" applyBorder="1"/>
    <xf numFmtId="49" fontId="27" fillId="0" borderId="0" xfId="0" applyNumberFormat="1" applyFont="1" applyAlignment="1">
      <alignment vertical="top"/>
    </xf>
    <xf numFmtId="2" fontId="19" fillId="0" borderId="2" xfId="0" applyNumberFormat="1" applyFont="1" applyBorder="1" applyAlignment="1">
      <alignment horizontal="left"/>
    </xf>
    <xf numFmtId="0" fontId="0" fillId="0" borderId="2" xfId="0" applyBorder="1" applyAlignment="1">
      <alignment horizontal="left"/>
    </xf>
    <xf numFmtId="2" fontId="19" fillId="0" borderId="0" xfId="0" applyNumberFormat="1" applyFont="1" applyAlignment="1">
      <alignment horizontal="left"/>
    </xf>
    <xf numFmtId="0" fontId="35" fillId="0" borderId="0" xfId="0" applyFont="1"/>
    <xf numFmtId="0" fontId="27" fillId="0" borderId="16" xfId="0" applyFont="1" applyBorder="1" applyAlignment="1">
      <alignment horizontal="center"/>
    </xf>
    <xf numFmtId="0" fontId="27" fillId="0" borderId="16" xfId="0" applyFont="1" applyBorder="1"/>
    <xf numFmtId="0" fontId="27" fillId="0" borderId="16" xfId="0" applyFont="1" applyBorder="1" applyAlignment="1">
      <alignment horizontal="left" vertical="top"/>
    </xf>
    <xf numFmtId="0" fontId="19" fillId="0" borderId="16" xfId="0" applyFont="1" applyBorder="1" applyAlignment="1">
      <alignment horizontal="left" vertical="top"/>
    </xf>
    <xf numFmtId="0" fontId="34" fillId="0" borderId="0" xfId="0" applyFont="1" applyAlignment="1">
      <alignment vertical="center" wrapText="1"/>
    </xf>
    <xf numFmtId="0" fontId="34" fillId="0" borderId="0" xfId="0" applyFont="1" applyAlignment="1">
      <alignment vertical="center"/>
    </xf>
    <xf numFmtId="0" fontId="34" fillId="0" borderId="0" xfId="0" applyFont="1" applyAlignment="1">
      <alignment horizontal="left" vertical="center" indent="1"/>
    </xf>
    <xf numFmtId="168" fontId="19" fillId="0" borderId="11" xfId="569" applyNumberFormat="1" applyBorder="1"/>
    <xf numFmtId="168" fontId="19" fillId="0" borderId="3" xfId="569" applyNumberFormat="1" applyBorder="1"/>
    <xf numFmtId="168" fontId="19" fillId="0" borderId="4" xfId="569" applyNumberFormat="1" applyBorder="1"/>
    <xf numFmtId="168" fontId="19" fillId="0" borderId="5" xfId="569" applyNumberFormat="1" applyBorder="1"/>
    <xf numFmtId="168" fontId="19" fillId="0" borderId="11" xfId="569" applyNumberFormat="1" applyBorder="1" applyAlignment="1">
      <alignment wrapText="1"/>
    </xf>
    <xf numFmtId="168" fontId="19" fillId="0" borderId="11" xfId="569" applyNumberFormat="1" applyBorder="1" applyAlignment="1">
      <alignment horizontal="right"/>
    </xf>
    <xf numFmtId="9" fontId="19" fillId="0" borderId="15" xfId="569" applyNumberFormat="1" applyBorder="1" applyAlignment="1">
      <alignment horizontal="center"/>
    </xf>
    <xf numFmtId="168" fontId="19" fillId="0" borderId="11" xfId="569" applyNumberFormat="1" applyBorder="1" applyAlignment="1">
      <alignment horizontal="center"/>
    </xf>
    <xf numFmtId="0" fontId="19" fillId="0" borderId="11" xfId="569" applyBorder="1" applyAlignment="1">
      <alignment horizontal="center"/>
    </xf>
    <xf numFmtId="176" fontId="19" fillId="5" borderId="3" xfId="569" applyNumberFormat="1" applyFill="1" applyBorder="1" applyAlignment="1" applyProtection="1">
      <alignment horizontal="right"/>
      <protection locked="0"/>
    </xf>
    <xf numFmtId="176" fontId="19" fillId="5" borderId="4" xfId="569" applyNumberFormat="1" applyFill="1" applyBorder="1" applyAlignment="1" applyProtection="1">
      <alignment horizontal="right"/>
      <protection locked="0"/>
    </xf>
    <xf numFmtId="176" fontId="19" fillId="5" borderId="5" xfId="569" applyNumberFormat="1" applyFill="1" applyBorder="1" applyAlignment="1" applyProtection="1">
      <alignment horizontal="right"/>
      <protection locked="0"/>
    </xf>
    <xf numFmtId="0" fontId="108" fillId="0" borderId="0" xfId="0" applyFont="1" applyAlignment="1">
      <alignment horizontal="left" vertical="top" wrapText="1"/>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26" fillId="0" borderId="6" xfId="569" applyFont="1" applyBorder="1" applyAlignment="1">
      <alignment horizontal="center"/>
    </xf>
    <xf numFmtId="168" fontId="19" fillId="0" borderId="3" xfId="569" applyNumberFormat="1" applyBorder="1" applyAlignment="1">
      <alignment horizontal="center"/>
    </xf>
    <xf numFmtId="0" fontId="19" fillId="0" borderId="4" xfId="569" applyBorder="1" applyAlignment="1">
      <alignment horizontal="center"/>
    </xf>
    <xf numFmtId="0" fontId="19" fillId="0" borderId="5" xfId="569" applyBorder="1" applyAlignment="1">
      <alignment horizontal="center"/>
    </xf>
    <xf numFmtId="0" fontId="108" fillId="0" borderId="0" xfId="569" applyFont="1" applyAlignment="1">
      <alignment horizontal="left" wrapText="1"/>
    </xf>
    <xf numFmtId="168" fontId="19" fillId="0" borderId="3" xfId="569" applyNumberFormat="1" applyBorder="1" applyAlignment="1">
      <alignment horizontal="right"/>
    </xf>
    <xf numFmtId="168" fontId="19" fillId="0" borderId="4" xfId="569" applyNumberFormat="1" applyBorder="1" applyAlignment="1">
      <alignment horizontal="right"/>
    </xf>
    <xf numFmtId="168" fontId="19" fillId="0" borderId="5" xfId="569" applyNumberFormat="1" applyBorder="1" applyAlignment="1">
      <alignment horizontal="right"/>
    </xf>
    <xf numFmtId="0" fontId="26" fillId="0" borderId="16" xfId="271" applyFont="1" applyBorder="1" applyAlignment="1">
      <alignment horizontal="center"/>
    </xf>
    <xf numFmtId="168" fontId="19" fillId="0" borderId="4" xfId="569" applyNumberFormat="1" applyBorder="1" applyAlignment="1">
      <alignment horizontal="center"/>
    </xf>
    <xf numFmtId="168" fontId="19" fillId="0" borderId="5" xfId="569" applyNumberFormat="1" applyBorder="1" applyAlignment="1">
      <alignment horizontal="center"/>
    </xf>
    <xf numFmtId="0" fontId="26" fillId="0" borderId="11" xfId="569" applyFont="1" applyBorder="1" applyAlignment="1">
      <alignment horizontal="center" wrapText="1"/>
    </xf>
    <xf numFmtId="0" fontId="26" fillId="0" borderId="11" xfId="569" applyFont="1" applyBorder="1" applyAlignment="1">
      <alignment horizontal="center"/>
    </xf>
    <xf numFmtId="165" fontId="19" fillId="0" borderId="11" xfId="569" applyNumberFormat="1" applyBorder="1" applyAlignment="1" applyProtection="1">
      <alignment horizontal="center"/>
      <protection locked="0"/>
    </xf>
    <xf numFmtId="0" fontId="55" fillId="0" borderId="0" xfId="569" applyFont="1" applyAlignment="1">
      <alignment horizontal="left"/>
    </xf>
    <xf numFmtId="5" fontId="19" fillId="0" borderId="5" xfId="569" applyNumberFormat="1" applyBorder="1" applyAlignment="1">
      <alignment horizontal="center"/>
    </xf>
    <xf numFmtId="5" fontId="19" fillId="0" borderId="11" xfId="569" applyNumberFormat="1" applyBorder="1" applyAlignment="1">
      <alignment horizontal="center"/>
    </xf>
    <xf numFmtId="5" fontId="19" fillId="0" borderId="3" xfId="569" applyNumberFormat="1" applyBorder="1" applyAlignment="1">
      <alignment horizontal="center"/>
    </xf>
    <xf numFmtId="5" fontId="19" fillId="0" borderId="4" xfId="569" applyNumberFormat="1" applyBorder="1" applyAlignment="1">
      <alignment horizontal="center"/>
    </xf>
    <xf numFmtId="168" fontId="19" fillId="5" borderId="5" xfId="569" applyNumberFormat="1" applyFill="1" applyBorder="1" applyAlignment="1" applyProtection="1">
      <alignment horizontal="center"/>
      <protection locked="0"/>
    </xf>
    <xf numFmtId="168" fontId="19" fillId="5" borderId="11" xfId="569" applyNumberFormat="1" applyFill="1" applyBorder="1" applyAlignment="1" applyProtection="1">
      <alignment horizontal="center"/>
      <protection locked="0"/>
    </xf>
    <xf numFmtId="9" fontId="19" fillId="0" borderId="5" xfId="569" applyNumberFormat="1" applyBorder="1" applyAlignment="1">
      <alignment horizontal="center"/>
    </xf>
    <xf numFmtId="9" fontId="19" fillId="0" borderId="11" xfId="569" applyNumberFormat="1" applyBorder="1" applyAlignment="1">
      <alignment horizontal="center"/>
    </xf>
    <xf numFmtId="9" fontId="19" fillId="0" borderId="9" xfId="569" applyNumberFormat="1" applyBorder="1" applyAlignment="1">
      <alignment horizontal="center" vertical="center"/>
    </xf>
    <xf numFmtId="9" fontId="19" fillId="0" borderId="6" xfId="569" applyNumberFormat="1" applyBorder="1" applyAlignment="1">
      <alignment horizontal="center" vertical="center"/>
    </xf>
    <xf numFmtId="9" fontId="19" fillId="0" borderId="10" xfId="569" applyNumberFormat="1" applyBorder="1" applyAlignment="1">
      <alignment horizontal="center" vertical="center"/>
    </xf>
    <xf numFmtId="168" fontId="19" fillId="2" borderId="3" xfId="569" applyNumberFormat="1" applyFill="1" applyBorder="1" applyAlignment="1">
      <alignment horizontal="center"/>
    </xf>
    <xf numFmtId="168" fontId="19" fillId="2" borderId="4" xfId="569" applyNumberFormat="1" applyFill="1" applyBorder="1" applyAlignment="1">
      <alignment horizontal="center"/>
    </xf>
    <xf numFmtId="168" fontId="19" fillId="2" borderId="5" xfId="569" applyNumberFormat="1" applyFill="1" applyBorder="1" applyAlignment="1">
      <alignment horizontal="center"/>
    </xf>
    <xf numFmtId="168" fontId="19" fillId="5" borderId="10" xfId="569" applyNumberFormat="1" applyFill="1" applyBorder="1" applyAlignment="1" applyProtection="1">
      <alignment horizontal="center"/>
      <protection locked="0"/>
    </xf>
    <xf numFmtId="168" fontId="19" fillId="5" borderId="13" xfId="569" applyNumberFormat="1" applyFill="1" applyBorder="1" applyAlignment="1" applyProtection="1">
      <alignment horizontal="center"/>
      <protection locked="0"/>
    </xf>
    <xf numFmtId="0" fontId="25" fillId="3" borderId="2" xfId="569" applyFont="1" applyFill="1" applyBorder="1" applyAlignment="1">
      <alignment horizontal="center" vertical="center"/>
    </xf>
    <xf numFmtId="0" fontId="25" fillId="3" borderId="16" xfId="569" applyFont="1" applyFill="1" applyBorder="1" applyAlignment="1">
      <alignment horizontal="center" vertical="center"/>
    </xf>
    <xf numFmtId="168" fontId="19" fillId="0" borderId="7" xfId="569" applyNumberFormat="1" applyBorder="1" applyAlignment="1">
      <alignment horizontal="center"/>
    </xf>
    <xf numFmtId="168" fontId="19" fillId="0" borderId="15" xfId="569" applyNumberFormat="1" applyBorder="1" applyAlignment="1">
      <alignment horizontal="center"/>
    </xf>
    <xf numFmtId="0" fontId="27" fillId="5" borderId="4" xfId="0" applyFont="1" applyFill="1" applyBorder="1" applyAlignment="1" applyProtection="1">
      <alignment horizontal="left"/>
      <protection locked="0"/>
    </xf>
    <xf numFmtId="0" fontId="27" fillId="5" borderId="5" xfId="0" applyFont="1" applyFill="1" applyBorder="1" applyAlignment="1" applyProtection="1">
      <alignment horizontal="left"/>
      <protection locked="0"/>
    </xf>
    <xf numFmtId="0" fontId="26" fillId="0" borderId="3"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7" fillId="0" borderId="4" xfId="569" applyFont="1" applyBorder="1" applyAlignment="1">
      <alignment horizontal="left"/>
    </xf>
    <xf numFmtId="0" fontId="27" fillId="0" borderId="5" xfId="569" applyFont="1" applyBorder="1" applyAlignment="1">
      <alignment horizontal="left"/>
    </xf>
    <xf numFmtId="179" fontId="26" fillId="0" borderId="0" xfId="569" applyNumberFormat="1" applyFont="1" applyAlignment="1">
      <alignment horizontal="center" wrapText="1"/>
    </xf>
    <xf numFmtId="164" fontId="26" fillId="0" borderId="0" xfId="569" applyNumberFormat="1" applyFont="1" applyAlignment="1">
      <alignment horizontal="center" wrapText="1"/>
    </xf>
    <xf numFmtId="0" fontId="19" fillId="0" borderId="3" xfId="569" applyBorder="1" applyAlignment="1">
      <alignment horizontal="right"/>
    </xf>
    <xf numFmtId="0" fontId="19" fillId="0" borderId="4" xfId="569" applyBorder="1" applyAlignment="1">
      <alignment horizontal="right"/>
    </xf>
    <xf numFmtId="0" fontId="19" fillId="0" borderId="5" xfId="569" applyBorder="1" applyAlignment="1">
      <alignment horizontal="right"/>
    </xf>
    <xf numFmtId="0" fontId="27" fillId="0" borderId="3" xfId="569" applyFont="1" applyBorder="1" applyAlignment="1">
      <alignment horizontal="right"/>
    </xf>
    <xf numFmtId="0" fontId="27" fillId="0" borderId="4" xfId="569" applyFont="1" applyBorder="1" applyAlignment="1">
      <alignment horizontal="right"/>
    </xf>
    <xf numFmtId="0" fontId="27" fillId="0" borderId="5" xfId="569" applyFont="1" applyBorder="1" applyAlignment="1">
      <alignment horizontal="right"/>
    </xf>
    <xf numFmtId="0" fontId="25" fillId="3" borderId="0" xfId="0" applyFont="1" applyFill="1" applyAlignment="1">
      <alignment horizontal="center" vertical="center" wrapText="1"/>
    </xf>
    <xf numFmtId="0" fontId="25" fillId="3" borderId="16" xfId="0" applyFont="1" applyFill="1" applyBorder="1" applyAlignment="1">
      <alignment horizontal="center" vertical="center" wrapText="1"/>
    </xf>
    <xf numFmtId="0" fontId="19" fillId="0" borderId="0" xfId="0" applyFont="1" applyAlignment="1">
      <alignment horizontal="left" vertical="top" wrapText="1"/>
    </xf>
    <xf numFmtId="0" fontId="106" fillId="0" borderId="0" xfId="0" applyFont="1" applyAlignment="1">
      <alignment horizontal="left" vertical="top" wrapText="1"/>
    </xf>
    <xf numFmtId="0" fontId="20" fillId="0" borderId="0" xfId="244" applyAlignment="1">
      <alignment horizontal="left" vertical="top"/>
    </xf>
    <xf numFmtId="0" fontId="48" fillId="0" borderId="0" xfId="0" applyFont="1" applyAlignment="1">
      <alignment horizontal="left" vertical="top" wrapText="1"/>
    </xf>
    <xf numFmtId="0" fontId="114" fillId="0" borderId="0" xfId="0" applyFont="1" applyAlignment="1">
      <alignment horizontal="left" wrapText="1"/>
    </xf>
    <xf numFmtId="0" fontId="19" fillId="0" borderId="0" xfId="0" applyFont="1" applyAlignment="1">
      <alignment horizontal="left" wrapText="1"/>
    </xf>
    <xf numFmtId="0" fontId="28" fillId="0" borderId="0" xfId="0" applyFont="1" applyAlignment="1">
      <alignment horizontal="left" wrapText="1"/>
    </xf>
    <xf numFmtId="0" fontId="20" fillId="0" borderId="0" xfId="244" applyAlignment="1" applyProtection="1">
      <alignment horizontal="left"/>
    </xf>
    <xf numFmtId="0" fontId="20" fillId="0" borderId="0" xfId="244"/>
    <xf numFmtId="0" fontId="0" fillId="0" borderId="0" xfId="0"/>
    <xf numFmtId="0" fontId="19" fillId="0" borderId="0" xfId="1192" applyAlignment="1">
      <alignment horizontal="left" vertical="top" wrapText="1"/>
    </xf>
    <xf numFmtId="0" fontId="26" fillId="0" borderId="0" xfId="0" applyFont="1" applyAlignment="1">
      <alignment horizontal="left" vertical="top" wrapText="1"/>
    </xf>
    <xf numFmtId="0" fontId="115" fillId="0" borderId="0" xfId="569" applyFont="1" applyAlignment="1">
      <alignment horizontal="center"/>
    </xf>
    <xf numFmtId="0" fontId="116" fillId="0" borderId="0" xfId="569" applyFont="1"/>
    <xf numFmtId="0" fontId="19" fillId="0" borderId="0" xfId="569" applyAlignment="1">
      <alignment wrapText="1"/>
    </xf>
    <xf numFmtId="0" fontId="26" fillId="0" borderId="0" xfId="569" applyFont="1" applyAlignment="1">
      <alignment wrapText="1"/>
    </xf>
    <xf numFmtId="0" fontId="34" fillId="0" borderId="0" xfId="569" applyFont="1" applyAlignment="1">
      <alignment horizontal="center"/>
    </xf>
    <xf numFmtId="0" fontId="19" fillId="0" borderId="0" xfId="569"/>
    <xf numFmtId="0" fontId="19" fillId="0" borderId="0" xfId="1192" applyAlignment="1">
      <alignment vertical="top" wrapText="1"/>
    </xf>
    <xf numFmtId="0" fontId="19" fillId="0" borderId="0" xfId="0" applyFont="1" applyAlignment="1">
      <alignment horizontal="left"/>
    </xf>
    <xf numFmtId="0" fontId="19" fillId="0" borderId="0" xfId="569" applyAlignment="1">
      <alignment vertical="top" wrapText="1"/>
    </xf>
    <xf numFmtId="0" fontId="19" fillId="0" borderId="0" xfId="0" applyFont="1" applyAlignment="1">
      <alignment horizontal="left" vertical="top"/>
    </xf>
    <xf numFmtId="0" fontId="37" fillId="0" borderId="0" xfId="0" applyFont="1" applyAlignment="1">
      <alignment horizontal="left"/>
    </xf>
    <xf numFmtId="49" fontId="19" fillId="0" borderId="0" xfId="0" applyNumberFormat="1" applyFont="1" applyAlignment="1">
      <alignment horizontal="left" vertical="top" wrapText="1"/>
    </xf>
    <xf numFmtId="49" fontId="19" fillId="0" borderId="0" xfId="1192" applyNumberFormat="1" applyAlignment="1">
      <alignment horizontal="left" vertical="top" wrapText="1"/>
    </xf>
    <xf numFmtId="0" fontId="26" fillId="0" borderId="4" xfId="0" applyFont="1" applyBorder="1" applyAlignment="1">
      <alignment horizontal="left"/>
    </xf>
    <xf numFmtId="4" fontId="37" fillId="0" borderId="0" xfId="0" applyNumberFormat="1" applyFont="1" applyAlignment="1">
      <alignment horizontal="left"/>
    </xf>
    <xf numFmtId="0" fontId="26" fillId="0" borderId="0" xfId="1192" applyFont="1" applyAlignment="1">
      <alignment horizontal="left" vertical="top" wrapText="1"/>
    </xf>
    <xf numFmtId="4" fontId="19" fillId="0" borderId="0" xfId="569" applyNumberFormat="1" applyAlignment="1">
      <alignment horizontal="left" vertical="top" wrapText="1"/>
    </xf>
    <xf numFmtId="4" fontId="19" fillId="0" borderId="0" xfId="569" applyNumberFormat="1" applyAlignment="1">
      <alignment horizontal="left"/>
    </xf>
    <xf numFmtId="0" fontId="37" fillId="0" borderId="0" xfId="569" applyFont="1" applyAlignment="1">
      <alignment horizontal="left" vertical="top"/>
    </xf>
    <xf numFmtId="4" fontId="19" fillId="0" borderId="0" xfId="0" applyNumberFormat="1" applyFont="1" applyAlignment="1">
      <alignment horizontal="left"/>
    </xf>
    <xf numFmtId="0" fontId="37" fillId="0" borderId="0" xfId="0" applyFont="1" applyAlignment="1">
      <alignment horizontal="left" vertical="top"/>
    </xf>
    <xf numFmtId="0" fontId="26" fillId="0" borderId="0" xfId="0" applyFont="1" applyAlignment="1">
      <alignment vertical="top" wrapText="1"/>
    </xf>
    <xf numFmtId="4" fontId="19" fillId="0" borderId="0" xfId="0" applyNumberFormat="1" applyFont="1" applyAlignment="1">
      <alignment horizontal="left" vertical="top" wrapText="1"/>
    </xf>
    <xf numFmtId="0" fontId="19" fillId="0" borderId="0" xfId="0" applyFont="1" applyAlignment="1">
      <alignment horizontal="left" vertical="center" wrapText="1"/>
    </xf>
    <xf numFmtId="0" fontId="19" fillId="0" borderId="0" xfId="569" applyAlignment="1">
      <alignment horizontal="left" wrapText="1"/>
    </xf>
    <xf numFmtId="0" fontId="19" fillId="0" borderId="0" xfId="0" applyFont="1" applyAlignment="1">
      <alignment vertical="top" wrapText="1"/>
    </xf>
    <xf numFmtId="0" fontId="20" fillId="0" borderId="0" xfId="244" applyFill="1" applyBorder="1" applyAlignment="1">
      <alignment horizontal="left" vertical="top" wrapText="1"/>
    </xf>
    <xf numFmtId="0" fontId="19" fillId="0" borderId="0" xfId="0" applyFont="1" applyAlignment="1">
      <alignment vertical="center" wrapText="1"/>
    </xf>
    <xf numFmtId="0" fontId="19" fillId="0" borderId="0" xfId="569" applyAlignment="1">
      <alignment horizontal="left" vertical="top" wrapText="1"/>
    </xf>
    <xf numFmtId="0" fontId="19" fillId="0" borderId="0" xfId="569" applyAlignment="1">
      <alignment horizontal="left"/>
    </xf>
    <xf numFmtId="0" fontId="37" fillId="0" borderId="0" xfId="569" applyFont="1" applyAlignment="1">
      <alignment horizontal="left"/>
    </xf>
    <xf numFmtId="0" fontId="26" fillId="0" borderId="4" xfId="569" applyFont="1" applyBorder="1" applyAlignment="1">
      <alignment horizontal="left" vertical="top"/>
    </xf>
    <xf numFmtId="0" fontId="20" fillId="0" borderId="0" xfId="244" quotePrefix="1" applyAlignment="1" applyProtection="1">
      <alignment horizontal="left"/>
    </xf>
    <xf numFmtId="0" fontId="19" fillId="0" borderId="0" xfId="569" applyAlignment="1">
      <alignment horizontal="left" vertical="top"/>
    </xf>
    <xf numFmtId="0" fontId="19" fillId="0" borderId="0" xfId="0" quotePrefix="1" applyFont="1" applyAlignment="1">
      <alignment horizontal="left" vertical="top"/>
    </xf>
    <xf numFmtId="0" fontId="37" fillId="0" borderId="0" xfId="0" applyFont="1" applyAlignment="1">
      <alignment horizontal="left" vertical="top" wrapText="1"/>
    </xf>
    <xf numFmtId="0" fontId="19" fillId="0" borderId="0" xfId="0" quotePrefix="1" applyFont="1" applyAlignment="1">
      <alignment horizontal="left" vertical="top" wrapText="1"/>
    </xf>
    <xf numFmtId="0" fontId="19" fillId="0" borderId="0" xfId="1192" applyAlignment="1">
      <alignment horizontal="left"/>
    </xf>
    <xf numFmtId="0" fontId="26" fillId="0" borderId="16" xfId="569" applyFont="1" applyBorder="1" applyAlignment="1">
      <alignment horizontal="left"/>
    </xf>
    <xf numFmtId="4" fontId="37" fillId="0" borderId="0" xfId="569" applyNumberFormat="1" applyFont="1" applyAlignment="1">
      <alignment horizontal="left" vertical="top" wrapText="1"/>
    </xf>
    <xf numFmtId="0" fontId="19" fillId="0" borderId="0" xfId="1192" applyAlignment="1" applyProtection="1">
      <alignment horizontal="left" vertical="top" wrapText="1"/>
      <protection locked="0"/>
    </xf>
    <xf numFmtId="0" fontId="0" fillId="0" borderId="0" xfId="0" applyAlignment="1">
      <alignment horizontal="left" vertical="top" wrapText="1"/>
    </xf>
    <xf numFmtId="0" fontId="37" fillId="0" borderId="0" xfId="1192" applyFont="1" applyAlignment="1">
      <alignment horizontal="left" vertical="top" wrapText="1"/>
    </xf>
    <xf numFmtId="4" fontId="19" fillId="0" borderId="0" xfId="1192" applyNumberFormat="1" applyAlignment="1">
      <alignment horizontal="left" vertical="top" wrapText="1"/>
    </xf>
    <xf numFmtId="4" fontId="37" fillId="0" borderId="0" xfId="0" applyNumberFormat="1" applyFont="1" applyAlignment="1">
      <alignment horizontal="left" vertical="top" wrapText="1"/>
    </xf>
    <xf numFmtId="0" fontId="26" fillId="0" borderId="4" xfId="0" applyFont="1" applyBorder="1" applyAlignment="1">
      <alignment horizontal="left" vertical="top"/>
    </xf>
    <xf numFmtId="0" fontId="37" fillId="0" borderId="0" xfId="569" applyFont="1" applyAlignment="1">
      <alignment horizontal="left" vertical="top" wrapText="1"/>
    </xf>
    <xf numFmtId="0" fontId="19" fillId="0" borderId="27" xfId="569" applyBorder="1" applyAlignment="1">
      <alignment horizontal="left"/>
    </xf>
    <xf numFmtId="0" fontId="26" fillId="0" borderId="0" xfId="569" applyFont="1" applyAlignment="1">
      <alignment horizontal="center"/>
    </xf>
    <xf numFmtId="0" fontId="20" fillId="0" borderId="0" xfId="244" applyNumberFormat="1" applyFill="1" applyAlignment="1" applyProtection="1">
      <alignment horizontal="left"/>
    </xf>
    <xf numFmtId="0" fontId="37" fillId="0" borderId="0" xfId="569" applyFont="1" applyAlignment="1">
      <alignment horizontal="left" wrapText="1"/>
    </xf>
    <xf numFmtId="0" fontId="37" fillId="0" borderId="0" xfId="569" applyFont="1" applyAlignment="1">
      <alignment horizontal="center" wrapText="1"/>
    </xf>
    <xf numFmtId="0" fontId="19" fillId="0" borderId="0" xfId="569" applyAlignment="1">
      <alignment horizontal="left" vertical="center" wrapText="1"/>
    </xf>
    <xf numFmtId="0" fontId="26" fillId="0" borderId="0" xfId="0" applyFont="1" applyAlignment="1">
      <alignment horizontal="left" vertical="top"/>
    </xf>
    <xf numFmtId="0" fontId="26" fillId="0" borderId="0" xfId="569" applyFont="1" applyAlignment="1">
      <alignment horizontal="left"/>
    </xf>
    <xf numFmtId="0" fontId="37" fillId="0" borderId="0" xfId="1192" applyFont="1" applyAlignment="1">
      <alignment horizontal="left"/>
    </xf>
    <xf numFmtId="0" fontId="20" fillId="0" borderId="0" xfId="244" applyAlignment="1" applyProtection="1">
      <alignment horizontal="left" vertical="top" wrapText="1"/>
    </xf>
    <xf numFmtId="0" fontId="37" fillId="0" borderId="0" xfId="569" applyFont="1" applyAlignment="1">
      <alignment horizontal="center"/>
    </xf>
    <xf numFmtId="0" fontId="0" fillId="5" borderId="6" xfId="0" applyFill="1" applyBorder="1" applyAlignment="1" applyProtection="1">
      <alignment horizontal="center"/>
      <protection locked="0"/>
    </xf>
    <xf numFmtId="0" fontId="28" fillId="0" borderId="0" xfId="543" applyFont="1" applyAlignment="1">
      <alignment horizontal="center"/>
    </xf>
    <xf numFmtId="0" fontId="0" fillId="0" borderId="0" xfId="0" applyAlignment="1">
      <alignment horizontal="center"/>
    </xf>
    <xf numFmtId="0" fontId="19" fillId="0" borderId="0" xfId="543" applyAlignment="1">
      <alignment wrapText="1"/>
    </xf>
    <xf numFmtId="0" fontId="26" fillId="0" borderId="0" xfId="0" applyFont="1" applyAlignment="1">
      <alignment horizontal="center"/>
    </xf>
    <xf numFmtId="0" fontId="159" fillId="0" borderId="8" xfId="543" applyFont="1" applyBorder="1" applyAlignment="1">
      <alignment horizontal="center" wrapText="1"/>
    </xf>
    <xf numFmtId="0" fontId="159" fillId="0" borderId="0" xfId="543" applyFont="1" applyAlignment="1">
      <alignment horizontal="center" wrapText="1"/>
    </xf>
    <xf numFmtId="0" fontId="159" fillId="0" borderId="12" xfId="543" applyFont="1" applyBorder="1" applyAlignment="1">
      <alignment horizontal="center" wrapText="1"/>
    </xf>
    <xf numFmtId="0" fontId="159" fillId="0" borderId="9" xfId="543" applyFont="1" applyBorder="1" applyAlignment="1">
      <alignment horizontal="center" wrapText="1"/>
    </xf>
    <xf numFmtId="0" fontId="159" fillId="0" borderId="6" xfId="543" applyFont="1" applyBorder="1" applyAlignment="1">
      <alignment horizontal="center" wrapText="1"/>
    </xf>
    <xf numFmtId="0" fontId="159" fillId="0" borderId="10" xfId="543" applyFont="1" applyBorder="1" applyAlignment="1">
      <alignment horizontal="center" wrapText="1"/>
    </xf>
    <xf numFmtId="0" fontId="159" fillId="0" borderId="8" xfId="543" applyFont="1" applyBorder="1" applyAlignment="1">
      <alignment horizontal="center" vertical="top" wrapText="1"/>
    </xf>
    <xf numFmtId="0" fontId="159" fillId="0" borderId="0" xfId="543" applyFont="1" applyAlignment="1">
      <alignment horizontal="center" vertical="top" wrapText="1"/>
    </xf>
    <xf numFmtId="0" fontId="159" fillId="0" borderId="12" xfId="543" applyFont="1" applyBorder="1" applyAlignment="1">
      <alignment horizontal="center" vertical="top" wrapText="1"/>
    </xf>
    <xf numFmtId="0" fontId="159" fillId="0" borderId="9" xfId="543" applyFont="1" applyBorder="1" applyAlignment="1">
      <alignment horizontal="center" vertical="top" wrapText="1"/>
    </xf>
    <xf numFmtId="0" fontId="159" fillId="0" borderId="6" xfId="543" applyFont="1" applyBorder="1" applyAlignment="1">
      <alignment horizontal="center" vertical="top" wrapText="1"/>
    </xf>
    <xf numFmtId="0" fontId="159" fillId="0" borderId="10" xfId="543" applyFont="1" applyBorder="1" applyAlignment="1">
      <alignment horizontal="center" vertical="top" wrapText="1"/>
    </xf>
    <xf numFmtId="0" fontId="156" fillId="0" borderId="0" xfId="0" applyFont="1" applyAlignment="1">
      <alignment horizontal="center" vertical="center" wrapText="1"/>
    </xf>
    <xf numFmtId="1" fontId="28" fillId="5" borderId="3" xfId="0" applyNumberFormat="1" applyFont="1" applyFill="1" applyBorder="1" applyAlignment="1" applyProtection="1">
      <alignment horizontal="center"/>
      <protection locked="0"/>
    </xf>
    <xf numFmtId="1" fontId="28" fillId="5" borderId="4" xfId="0" applyNumberFormat="1" applyFont="1" applyFill="1" applyBorder="1" applyAlignment="1" applyProtection="1">
      <alignment horizontal="center"/>
      <protection locked="0"/>
    </xf>
    <xf numFmtId="1" fontId="28"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8" fillId="5" borderId="3" xfId="0" applyFont="1" applyFill="1" applyBorder="1" applyAlignment="1" applyProtection="1">
      <alignment horizontal="center"/>
      <protection locked="0"/>
    </xf>
    <xf numFmtId="0" fontId="28" fillId="5" borderId="4" xfId="0" applyFont="1" applyFill="1" applyBorder="1" applyAlignment="1" applyProtection="1">
      <alignment horizontal="center"/>
      <protection locked="0"/>
    </xf>
    <xf numFmtId="0" fontId="28" fillId="5" borderId="5" xfId="0" applyFont="1" applyFill="1" applyBorder="1" applyAlignment="1" applyProtection="1">
      <alignment horizontal="center"/>
      <protection locked="0"/>
    </xf>
    <xf numFmtId="168" fontId="19" fillId="0" borderId="1" xfId="543" applyNumberFormat="1" applyBorder="1" applyAlignment="1">
      <alignment horizontal="center" vertical="center"/>
    </xf>
    <xf numFmtId="168" fontId="19" fillId="0" borderId="2" xfId="543" applyNumberFormat="1" applyBorder="1" applyAlignment="1">
      <alignment horizontal="center" vertical="center"/>
    </xf>
    <xf numFmtId="168" fontId="19" fillId="0" borderId="7" xfId="543" applyNumberFormat="1" applyBorder="1" applyAlignment="1">
      <alignment horizontal="center" vertical="center"/>
    </xf>
    <xf numFmtId="168" fontId="19" fillId="0" borderId="8" xfId="543" applyNumberFormat="1" applyBorder="1" applyAlignment="1">
      <alignment horizontal="center" vertical="center"/>
    </xf>
    <xf numFmtId="168" fontId="19" fillId="0" borderId="0" xfId="543" applyNumberFormat="1" applyAlignment="1">
      <alignment horizontal="center" vertical="center"/>
    </xf>
    <xf numFmtId="168" fontId="19" fillId="0" borderId="12" xfId="543" applyNumberFormat="1" applyBorder="1" applyAlignment="1">
      <alignment horizontal="center" vertical="center"/>
    </xf>
    <xf numFmtId="168" fontId="19" fillId="0" borderId="9" xfId="543" applyNumberFormat="1" applyBorder="1" applyAlignment="1">
      <alignment horizontal="center" vertical="center"/>
    </xf>
    <xf numFmtId="168" fontId="19" fillId="0" borderId="6" xfId="543" applyNumberFormat="1" applyBorder="1" applyAlignment="1">
      <alignment horizontal="center" vertical="center"/>
    </xf>
    <xf numFmtId="168" fontId="19"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9" fillId="5" borderId="3" xfId="0" applyNumberFormat="1" applyFont="1" applyFill="1" applyBorder="1" applyAlignment="1" applyProtection="1">
      <alignment horizontal="right"/>
      <protection locked="0"/>
    </xf>
    <xf numFmtId="168" fontId="19" fillId="5" borderId="4" xfId="0" applyNumberFormat="1" applyFont="1" applyFill="1" applyBorder="1" applyAlignment="1" applyProtection="1">
      <alignment horizontal="right"/>
      <protection locked="0"/>
    </xf>
    <xf numFmtId="168" fontId="19" fillId="5" borderId="5" xfId="0" applyNumberFormat="1" applyFont="1" applyFill="1" applyBorder="1" applyAlignment="1" applyProtection="1">
      <alignment horizontal="right"/>
      <protection locked="0"/>
    </xf>
    <xf numFmtId="0" fontId="19" fillId="5" borderId="3" xfId="0" applyFont="1" applyFill="1" applyBorder="1" applyAlignment="1" applyProtection="1">
      <alignment horizontal="left"/>
      <protection locked="0"/>
    </xf>
    <xf numFmtId="0" fontId="19" fillId="5" borderId="4" xfId="0" applyFont="1" applyFill="1" applyBorder="1" applyAlignment="1" applyProtection="1">
      <alignment horizontal="left"/>
      <protection locked="0"/>
    </xf>
    <xf numFmtId="0" fontId="19" fillId="5" borderId="5" xfId="0" applyFont="1" applyFill="1" applyBorder="1" applyAlignment="1" applyProtection="1">
      <alignment horizontal="left"/>
      <protection locked="0"/>
    </xf>
    <xf numFmtId="0" fontId="55" fillId="5" borderId="3" xfId="0" applyFont="1" applyFill="1" applyBorder="1" applyAlignment="1" applyProtection="1">
      <alignment horizontal="right"/>
      <protection locked="0"/>
    </xf>
    <xf numFmtId="0" fontId="55" fillId="5" borderId="4" xfId="0" applyFont="1" applyFill="1" applyBorder="1" applyAlignment="1" applyProtection="1">
      <alignment horizontal="right"/>
      <protection locked="0"/>
    </xf>
    <xf numFmtId="0" fontId="55" fillId="5" borderId="5" xfId="0" applyFont="1" applyFill="1" applyBorder="1" applyAlignment="1" applyProtection="1">
      <alignment horizontal="right"/>
      <protection locked="0"/>
    </xf>
    <xf numFmtId="182" fontId="27"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68" fontId="28" fillId="5" borderId="3" xfId="0" applyNumberFormat="1" applyFont="1" applyFill="1" applyBorder="1" applyAlignment="1" applyProtection="1">
      <alignment horizontal="center"/>
      <protection locked="0"/>
    </xf>
    <xf numFmtId="168" fontId="28" fillId="5" borderId="4" xfId="0" applyNumberFormat="1" applyFont="1" applyFill="1" applyBorder="1" applyAlignment="1" applyProtection="1">
      <alignment horizontal="center"/>
      <protection locked="0"/>
    </xf>
    <xf numFmtId="168" fontId="28" fillId="5" borderId="5" xfId="0" applyNumberFormat="1" applyFont="1" applyFill="1" applyBorder="1" applyAlignment="1" applyProtection="1">
      <alignment horizontal="center"/>
      <protection locked="0"/>
    </xf>
    <xf numFmtId="168" fontId="28" fillId="0" borderId="3" xfId="0" applyNumberFormat="1" applyFont="1" applyBorder="1" applyAlignment="1">
      <alignment horizontal="center"/>
    </xf>
    <xf numFmtId="168" fontId="28" fillId="0" borderId="4" xfId="0" applyNumberFormat="1" applyFont="1" applyBorder="1" applyAlignment="1">
      <alignment horizontal="center"/>
    </xf>
    <xf numFmtId="168" fontId="28" fillId="0" borderId="5" xfId="0" applyNumberFormat="1" applyFont="1" applyBorder="1" applyAlignment="1">
      <alignment horizontal="center"/>
    </xf>
    <xf numFmtId="9" fontId="28" fillId="5" borderId="3" xfId="0" applyNumberFormat="1" applyFont="1" applyFill="1" applyBorder="1" applyAlignment="1" applyProtection="1">
      <alignment horizontal="center"/>
      <protection locked="0"/>
    </xf>
    <xf numFmtId="9" fontId="28" fillId="5" borderId="4" xfId="0" applyNumberFormat="1" applyFont="1" applyFill="1" applyBorder="1" applyAlignment="1" applyProtection="1">
      <alignment horizontal="center"/>
      <protection locked="0"/>
    </xf>
    <xf numFmtId="9" fontId="28"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8" fillId="0" borderId="1" xfId="0" applyFont="1" applyBorder="1" applyAlignment="1">
      <alignment horizontal="center" vertical="top" wrapText="1"/>
    </xf>
    <xf numFmtId="0" fontId="28" fillId="0" borderId="2" xfId="0" applyFont="1" applyBorder="1" applyAlignment="1">
      <alignment horizontal="center" vertical="top" wrapText="1"/>
    </xf>
    <xf numFmtId="0" fontId="28" fillId="0" borderId="7" xfId="0" applyFont="1" applyBorder="1" applyAlignment="1">
      <alignment horizontal="center" vertical="top" wrapText="1"/>
    </xf>
    <xf numFmtId="0" fontId="28" fillId="0" borderId="8" xfId="0" applyFont="1" applyBorder="1" applyAlignment="1">
      <alignment horizontal="center" vertical="top" wrapText="1"/>
    </xf>
    <xf numFmtId="0" fontId="28" fillId="0" borderId="0" xfId="0" applyFont="1" applyAlignment="1">
      <alignment horizontal="center" vertical="top" wrapText="1"/>
    </xf>
    <xf numFmtId="0" fontId="28" fillId="0" borderId="12" xfId="0" applyFont="1" applyBorder="1" applyAlignment="1">
      <alignment horizontal="center" vertical="top" wrapText="1"/>
    </xf>
    <xf numFmtId="0" fontId="28" fillId="0" borderId="9" xfId="0" applyFont="1" applyBorder="1" applyAlignment="1">
      <alignment horizontal="center" vertical="top" wrapText="1"/>
    </xf>
    <xf numFmtId="0" fontId="28" fillId="0" borderId="6" xfId="0" applyFont="1" applyBorder="1" applyAlignment="1">
      <alignment horizontal="center" vertical="top" wrapText="1"/>
    </xf>
    <xf numFmtId="0" fontId="28" fillId="0" borderId="10" xfId="0" applyFont="1" applyBorder="1" applyAlignment="1">
      <alignment horizontal="center" vertical="top" wrapText="1"/>
    </xf>
    <xf numFmtId="165" fontId="28" fillId="0" borderId="1" xfId="0" applyNumberFormat="1" applyFont="1" applyBorder="1" applyAlignment="1">
      <alignment horizontal="right"/>
    </xf>
    <xf numFmtId="165" fontId="28" fillId="0" borderId="2" xfId="0" applyNumberFormat="1" applyFont="1" applyBorder="1" applyAlignment="1">
      <alignment horizontal="right"/>
    </xf>
    <xf numFmtId="165" fontId="28" fillId="0" borderId="7" xfId="0" applyNumberFormat="1" applyFont="1" applyBorder="1" applyAlignment="1">
      <alignment horizontal="right"/>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80" fontId="27" fillId="43" borderId="3" xfId="0" applyNumberFormat="1" applyFont="1" applyFill="1" applyBorder="1" applyAlignment="1" applyProtection="1">
      <alignment horizontal="center" vertical="center"/>
      <protection locked="0"/>
    </xf>
    <xf numFmtId="180" fontId="27" fillId="43" borderId="4" xfId="0" applyNumberFormat="1" applyFont="1" applyFill="1" applyBorder="1" applyAlignment="1" applyProtection="1">
      <alignment horizontal="center" vertical="center"/>
      <protection locked="0"/>
    </xf>
    <xf numFmtId="180" fontId="27" fillId="43" borderId="5" xfId="0" applyNumberFormat="1" applyFont="1" applyFill="1" applyBorder="1" applyAlignment="1" applyProtection="1">
      <alignment horizontal="center" vertical="center"/>
      <protection locked="0"/>
    </xf>
    <xf numFmtId="0" fontId="28" fillId="5" borderId="9" xfId="0" applyFont="1" applyFill="1" applyBorder="1" applyAlignment="1" applyProtection="1">
      <alignment horizontal="center"/>
      <protection locked="0"/>
    </xf>
    <xf numFmtId="0" fontId="28" fillId="5" borderId="6" xfId="0" applyFont="1" applyFill="1" applyBorder="1" applyAlignment="1" applyProtection="1">
      <alignment horizontal="center"/>
      <protection locked="0"/>
    </xf>
    <xf numFmtId="0" fontId="0" fillId="0" borderId="12" xfId="0" applyBorder="1" applyAlignment="1">
      <alignment horizontal="center"/>
    </xf>
    <xf numFmtId="0" fontId="0" fillId="0" borderId="6" xfId="0" applyBorder="1" applyAlignment="1">
      <alignment horizontal="left"/>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0" fillId="5" borderId="4" xfId="0" applyFill="1" applyBorder="1" applyAlignment="1" applyProtection="1">
      <alignment horizontal="left"/>
      <protection locked="0"/>
    </xf>
    <xf numFmtId="166" fontId="28" fillId="5" borderId="4" xfId="0" applyNumberFormat="1" applyFont="1" applyFill="1" applyBorder="1" applyAlignment="1" applyProtection="1">
      <alignment horizontal="left"/>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0" xfId="0" applyFont="1" applyAlignment="1">
      <alignment horizontal="center" vertical="center" wrapText="1"/>
    </xf>
    <xf numFmtId="0" fontId="26" fillId="0" borderId="12"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10" xfId="0" applyFont="1" applyBorder="1" applyAlignment="1">
      <alignment horizontal="center" vertical="center" wrapText="1"/>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68" fontId="19" fillId="43" borderId="3" xfId="0" applyNumberFormat="1" applyFont="1" applyFill="1" applyBorder="1" applyAlignment="1" applyProtection="1">
      <alignment horizontal="center" vertical="center"/>
      <protection locked="0"/>
    </xf>
    <xf numFmtId="168" fontId="19" fillId="43" borderId="4" xfId="0" applyNumberFormat="1" applyFont="1" applyFill="1" applyBorder="1" applyAlignment="1" applyProtection="1">
      <alignment horizontal="center" vertical="center"/>
      <protection locked="0"/>
    </xf>
    <xf numFmtId="168" fontId="19"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0" fillId="5" borderId="6" xfId="0"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8" fillId="5" borderId="4" xfId="0" applyFont="1" applyFill="1" applyBorder="1" applyAlignment="1" applyProtection="1">
      <alignment horizontal="left"/>
      <protection locked="0"/>
    </xf>
    <xf numFmtId="0" fontId="56" fillId="0" borderId="1" xfId="0" applyFont="1" applyBorder="1" applyAlignment="1">
      <alignment horizontal="center" vertical="center" wrapText="1"/>
    </xf>
    <xf numFmtId="0" fontId="56" fillId="0" borderId="2" xfId="0" applyFont="1" applyBorder="1" applyAlignment="1">
      <alignment horizontal="center" vertical="center" wrapText="1"/>
    </xf>
    <xf numFmtId="0" fontId="56" fillId="0" borderId="7"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0" xfId="0" applyFont="1" applyAlignment="1">
      <alignment horizontal="center" vertical="center" wrapText="1"/>
    </xf>
    <xf numFmtId="0" fontId="56" fillId="0" borderId="12" xfId="0" applyFont="1" applyBorder="1" applyAlignment="1">
      <alignment horizontal="center" vertical="center" wrapText="1"/>
    </xf>
    <xf numFmtId="0" fontId="56" fillId="0" borderId="9" xfId="0" applyFont="1" applyBorder="1" applyAlignment="1">
      <alignment horizontal="center" vertical="center" wrapText="1"/>
    </xf>
    <xf numFmtId="0" fontId="56" fillId="0" borderId="6" xfId="0" applyFont="1" applyBorder="1" applyAlignment="1">
      <alignment horizontal="center" vertical="center" wrapText="1"/>
    </xf>
    <xf numFmtId="0" fontId="56" fillId="0" borderId="10" xfId="0" applyFont="1" applyBorder="1" applyAlignment="1">
      <alignment horizontal="center" vertical="center" wrapText="1"/>
    </xf>
    <xf numFmtId="166" fontId="19" fillId="5" borderId="4" xfId="0" applyNumberFormat="1"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0" fontId="19" fillId="5" borderId="6" xfId="0" applyFont="1" applyFill="1" applyBorder="1" applyAlignment="1" applyProtection="1">
      <alignment horizontal="left"/>
      <protection locked="0"/>
    </xf>
    <xf numFmtId="0" fontId="0" fillId="43" borderId="4" xfId="0" applyFill="1" applyBorder="1" applyAlignment="1" applyProtection="1">
      <alignment horizontal="center"/>
      <protection locked="0"/>
    </xf>
    <xf numFmtId="0" fontId="26" fillId="0" borderId="11" xfId="0" applyFont="1" applyBorder="1" applyAlignment="1">
      <alignment horizontal="center" vertical="center" wrapText="1"/>
    </xf>
    <xf numFmtId="175" fontId="19" fillId="43" borderId="3" xfId="0" applyNumberFormat="1" applyFont="1" applyFill="1" applyBorder="1" applyAlignment="1" applyProtection="1">
      <alignment horizontal="center"/>
      <protection locked="0"/>
    </xf>
    <xf numFmtId="175" fontId="19" fillId="43" borderId="4" xfId="0" applyNumberFormat="1" applyFont="1" applyFill="1" applyBorder="1" applyAlignment="1" applyProtection="1">
      <alignment horizontal="center"/>
      <protection locked="0"/>
    </xf>
    <xf numFmtId="175" fontId="19" fillId="43" borderId="5" xfId="0" applyNumberFormat="1" applyFont="1" applyFill="1" applyBorder="1" applyAlignment="1" applyProtection="1">
      <alignment horizontal="center"/>
      <protection locked="0"/>
    </xf>
    <xf numFmtId="0" fontId="19" fillId="5" borderId="11" xfId="0" applyFont="1" applyFill="1" applyBorder="1" applyAlignment="1" applyProtection="1">
      <alignment horizontal="left" wrapText="1"/>
      <protection locked="0"/>
    </xf>
    <xf numFmtId="0" fontId="52" fillId="0" borderId="0" xfId="0" applyFont="1" applyAlignment="1">
      <alignment horizontal="center"/>
    </xf>
    <xf numFmtId="0" fontId="19" fillId="0" borderId="0" xfId="0" applyFont="1" applyAlignment="1">
      <alignment horizontal="center"/>
    </xf>
    <xf numFmtId="0" fontId="34" fillId="0" borderId="0" xfId="0" applyFont="1" applyAlignment="1">
      <alignment horizontal="center"/>
    </xf>
    <xf numFmtId="0" fontId="19" fillId="0" borderId="0" xfId="0" applyFont="1" applyAlignment="1">
      <alignment wrapText="1"/>
    </xf>
    <xf numFmtId="0" fontId="19" fillId="0" borderId="0" xfId="0" applyFont="1" applyAlignment="1">
      <alignment horizontal="center" vertical="top"/>
    </xf>
    <xf numFmtId="0" fontId="28" fillId="0" borderId="0" xfId="0" applyFont="1" applyAlignment="1">
      <alignment horizontal="left" vertical="top" wrapText="1"/>
    </xf>
    <xf numFmtId="0" fontId="28" fillId="5" borderId="6" xfId="0" applyFont="1" applyFill="1" applyBorder="1" applyAlignment="1" applyProtection="1">
      <alignment horizontal="left"/>
      <protection locked="0"/>
    </xf>
    <xf numFmtId="168" fontId="28" fillId="0" borderId="6" xfId="0" applyNumberFormat="1" applyFont="1" applyBorder="1" applyAlignment="1">
      <alignment horizontal="center"/>
    </xf>
    <xf numFmtId="0" fontId="19" fillId="5" borderId="6" xfId="0" applyFont="1" applyFill="1" applyBorder="1" applyAlignment="1" applyProtection="1">
      <alignment horizontal="left" wrapText="1"/>
      <protection locked="0"/>
    </xf>
    <xf numFmtId="0" fontId="28" fillId="5" borderId="6" xfId="0" applyFont="1" applyFill="1" applyBorder="1" applyAlignment="1" applyProtection="1">
      <alignment horizontal="left" wrapText="1"/>
      <protection locked="0"/>
    </xf>
    <xf numFmtId="0" fontId="27" fillId="0" borderId="0" xfId="0" applyFont="1" applyAlignment="1">
      <alignment horizontal="center"/>
    </xf>
    <xf numFmtId="0" fontId="25" fillId="3" borderId="0" xfId="0" applyFont="1" applyFill="1" applyAlignment="1">
      <alignment horizontal="center" vertical="center"/>
    </xf>
    <xf numFmtId="166" fontId="28" fillId="5" borderId="6" xfId="0" applyNumberFormat="1" applyFont="1" applyFill="1" applyBorder="1" applyAlignment="1" applyProtection="1">
      <alignment horizontal="left"/>
      <protection locked="0"/>
    </xf>
    <xf numFmtId="0" fontId="19" fillId="5" borderId="4" xfId="0" applyFont="1" applyFill="1" applyBorder="1" applyAlignment="1" applyProtection="1">
      <alignment wrapText="1"/>
      <protection locked="0"/>
    </xf>
    <xf numFmtId="0" fontId="28" fillId="5" borderId="4" xfId="0" applyFont="1" applyFill="1" applyBorder="1" applyAlignment="1" applyProtection="1">
      <alignment wrapText="1"/>
      <protection locked="0"/>
    </xf>
    <xf numFmtId="1" fontId="28" fillId="5" borderId="3" xfId="0" applyNumberFormat="1" applyFont="1" applyFill="1" applyBorder="1" applyAlignment="1" applyProtection="1">
      <alignment horizontal="right" vertical="top"/>
      <protection locked="0"/>
    </xf>
    <xf numFmtId="1" fontId="28" fillId="5" borderId="4" xfId="0" applyNumberFormat="1" applyFont="1" applyFill="1" applyBorder="1" applyAlignment="1" applyProtection="1">
      <alignment horizontal="right" vertical="top"/>
      <protection locked="0"/>
    </xf>
    <xf numFmtId="1" fontId="28" fillId="5" borderId="5" xfId="0" applyNumberFormat="1" applyFont="1" applyFill="1" applyBorder="1" applyAlignment="1" applyProtection="1">
      <alignment horizontal="righ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0" fillId="0" borderId="11" xfId="0" applyBorder="1" applyAlignment="1">
      <alignment horizontal="center"/>
    </xf>
    <xf numFmtId="0" fontId="26" fillId="0" borderId="3" xfId="0" applyFont="1" applyBorder="1" applyAlignment="1">
      <alignment horizontal="right"/>
    </xf>
    <xf numFmtId="0" fontId="26" fillId="0" borderId="4" xfId="0" applyFont="1" applyBorder="1" applyAlignment="1">
      <alignment horizontal="right"/>
    </xf>
    <xf numFmtId="0" fontId="26" fillId="0" borderId="5" xfId="0" applyFont="1" applyBorder="1" applyAlignment="1">
      <alignment horizontal="right"/>
    </xf>
    <xf numFmtId="175" fontId="19" fillId="43" borderId="3" xfId="0" applyNumberFormat="1" applyFont="1" applyFill="1" applyBorder="1" applyAlignment="1" applyProtection="1">
      <alignment horizontal="center" vertical="center"/>
      <protection locked="0"/>
    </xf>
    <xf numFmtId="175" fontId="19" fillId="43" borderId="4" xfId="0" applyNumberFormat="1" applyFont="1" applyFill="1" applyBorder="1" applyAlignment="1" applyProtection="1">
      <alignment horizontal="center" vertical="center"/>
      <protection locked="0"/>
    </xf>
    <xf numFmtId="175" fontId="19" fillId="43" borderId="5" xfId="0" applyNumberFormat="1" applyFont="1" applyFill="1" applyBorder="1" applyAlignment="1" applyProtection="1">
      <alignment horizontal="center" vertical="center"/>
      <protection locked="0"/>
    </xf>
    <xf numFmtId="180" fontId="0" fillId="0" borderId="6" xfId="0" applyNumberFormat="1" applyBorder="1" applyAlignment="1">
      <alignment horizontal="center"/>
    </xf>
    <xf numFmtId="14" fontId="28" fillId="5" borderId="4" xfId="0" applyNumberFormat="1" applyFont="1" applyFill="1" applyBorder="1" applyAlignment="1" applyProtection="1">
      <alignment horizontal="right"/>
      <protection locked="0"/>
    </xf>
    <xf numFmtId="0" fontId="19" fillId="0" borderId="3" xfId="0" applyFont="1" applyBorder="1" applyAlignment="1">
      <alignment horizontal="left"/>
    </xf>
    <xf numFmtId="0" fontId="19" fillId="0" borderId="4" xfId="0" applyFont="1" applyBorder="1" applyAlignment="1">
      <alignment horizontal="left"/>
    </xf>
    <xf numFmtId="0" fontId="19" fillId="0" borderId="5" xfId="0" applyFont="1" applyBorder="1" applyAlignment="1">
      <alignment horizontal="left"/>
    </xf>
    <xf numFmtId="0" fontId="28" fillId="2" borderId="11" xfId="0" applyFont="1" applyFill="1" applyBorder="1" applyAlignment="1">
      <alignment horizontal="center"/>
    </xf>
    <xf numFmtId="0" fontId="28" fillId="45" borderId="11" xfId="0" applyFont="1" applyFill="1" applyBorder="1" applyAlignment="1">
      <alignment horizontal="center"/>
    </xf>
    <xf numFmtId="0" fontId="19" fillId="0" borderId="11" xfId="543" applyBorder="1" applyAlignment="1">
      <alignment horizontal="center"/>
    </xf>
    <xf numFmtId="0" fontId="28" fillId="0" borderId="3" xfId="0" applyFont="1" applyBorder="1" applyAlignment="1">
      <alignment horizontal="center"/>
    </xf>
    <xf numFmtId="0" fontId="28" fillId="0" borderId="5" xfId="0" applyFont="1" applyBorder="1" applyAlignment="1">
      <alignment horizontal="center"/>
    </xf>
    <xf numFmtId="0" fontId="42" fillId="0" borderId="3" xfId="0" applyFont="1" applyBorder="1" applyAlignment="1">
      <alignment horizontal="center"/>
    </xf>
    <xf numFmtId="0" fontId="42" fillId="0" borderId="4" xfId="0" applyFont="1" applyBorder="1" applyAlignment="1">
      <alignment horizontal="center"/>
    </xf>
    <xf numFmtId="0" fontId="42" fillId="0" borderId="5" xfId="0" applyFont="1" applyBorder="1" applyAlignment="1">
      <alignment horizontal="center"/>
    </xf>
    <xf numFmtId="0" fontId="19" fillId="0" borderId="11" xfId="0" applyFont="1" applyBorder="1" applyAlignment="1">
      <alignment horizontal="center"/>
    </xf>
    <xf numFmtId="0" fontId="19" fillId="0" borderId="3" xfId="0" applyFont="1" applyBorder="1" applyAlignment="1">
      <alignment horizontal="center"/>
    </xf>
    <xf numFmtId="0" fontId="19" fillId="0" borderId="5" xfId="0" applyFont="1" applyBorder="1" applyAlignment="1">
      <alignment horizontal="center"/>
    </xf>
    <xf numFmtId="0" fontId="28" fillId="45" borderId="3" xfId="0" applyFont="1" applyFill="1" applyBorder="1" applyAlignment="1">
      <alignment horizontal="center"/>
    </xf>
    <xf numFmtId="0" fontId="28" fillId="45" borderId="4" xfId="0" applyFont="1" applyFill="1" applyBorder="1" applyAlignment="1">
      <alignment horizontal="center"/>
    </xf>
    <xf numFmtId="0" fontId="28" fillId="45" borderId="5" xfId="0" applyFont="1" applyFill="1" applyBorder="1" applyAlignment="1">
      <alignment horizontal="center"/>
    </xf>
    <xf numFmtId="0" fontId="19" fillId="0" borderId="4" xfId="0" applyFont="1" applyBorder="1" applyAlignment="1">
      <alignment horizontal="center"/>
    </xf>
    <xf numFmtId="0" fontId="28" fillId="0" borderId="4" xfId="0" applyFont="1" applyBorder="1" applyAlignment="1">
      <alignment horizontal="center"/>
    </xf>
    <xf numFmtId="0" fontId="19" fillId="0" borderId="8" xfId="543" applyBorder="1" applyAlignment="1">
      <alignment horizontal="left" vertical="center" wrapText="1"/>
    </xf>
    <xf numFmtId="0" fontId="19" fillId="0" borderId="0" xfId="543" applyAlignment="1">
      <alignment horizontal="left" vertical="center" wrapText="1"/>
    </xf>
    <xf numFmtId="0" fontId="19" fillId="0" borderId="12" xfId="543" applyBorder="1" applyAlignment="1">
      <alignment horizontal="left" vertical="center" wrapText="1"/>
    </xf>
    <xf numFmtId="0" fontId="19" fillId="0" borderId="9" xfId="543" applyBorder="1" applyAlignment="1">
      <alignment horizontal="left" vertical="center" wrapText="1"/>
    </xf>
    <xf numFmtId="0" fontId="19" fillId="0" borderId="6" xfId="543" applyBorder="1" applyAlignment="1">
      <alignment horizontal="left" vertical="center" wrapText="1"/>
    </xf>
    <xf numFmtId="0" fontId="19" fillId="0" borderId="10" xfId="543" applyBorder="1" applyAlignment="1">
      <alignment horizontal="left" vertical="center" wrapText="1"/>
    </xf>
    <xf numFmtId="0" fontId="26" fillId="0" borderId="8" xfId="543" applyFont="1" applyBorder="1" applyAlignment="1">
      <alignment horizontal="left" vertical="center" wrapText="1"/>
    </xf>
    <xf numFmtId="0" fontId="26" fillId="0" borderId="0" xfId="543" applyFont="1" applyAlignment="1">
      <alignment horizontal="left" vertical="center" wrapText="1"/>
    </xf>
    <xf numFmtId="0" fontId="26" fillId="0" borderId="12" xfId="543" applyFont="1" applyBorder="1" applyAlignment="1">
      <alignment horizontal="left" vertical="center" wrapText="1"/>
    </xf>
    <xf numFmtId="0" fontId="19" fillId="0" borderId="9" xfId="543" applyBorder="1" applyAlignment="1">
      <alignment horizontal="left" vertical="top" wrapText="1"/>
    </xf>
    <xf numFmtId="0" fontId="19" fillId="0" borderId="6" xfId="543" applyBorder="1" applyAlignment="1">
      <alignment horizontal="left" vertical="top" wrapText="1"/>
    </xf>
    <xf numFmtId="0" fontId="19" fillId="0" borderId="10" xfId="543" applyBorder="1" applyAlignment="1">
      <alignment horizontal="left" vertical="top" wrapText="1"/>
    </xf>
    <xf numFmtId="168" fontId="19" fillId="0" borderId="11" xfId="543" applyNumberFormat="1" applyBorder="1" applyAlignment="1">
      <alignment horizontal="center"/>
    </xf>
    <xf numFmtId="0" fontId="19" fillId="0" borderId="3" xfId="543" applyBorder="1" applyAlignment="1">
      <alignment horizontal="center"/>
    </xf>
    <xf numFmtId="0" fontId="19" fillId="0" borderId="4" xfId="543" applyBorder="1" applyAlignment="1">
      <alignment horizontal="center"/>
    </xf>
    <xf numFmtId="0" fontId="19" fillId="0" borderId="5" xfId="543" applyBorder="1" applyAlignment="1">
      <alignment horizontal="center"/>
    </xf>
    <xf numFmtId="1" fontId="19" fillId="0" borderId="3" xfId="543" applyNumberFormat="1" applyBorder="1" applyAlignment="1">
      <alignment horizontal="center"/>
    </xf>
    <xf numFmtId="1" fontId="19" fillId="0" borderId="4" xfId="543" applyNumberFormat="1" applyBorder="1" applyAlignment="1">
      <alignment horizontal="center"/>
    </xf>
    <xf numFmtId="1" fontId="19" fillId="0" borderId="5" xfId="543" applyNumberFormat="1" applyBorder="1" applyAlignment="1">
      <alignment horizontal="center"/>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9" fillId="0" borderId="1" xfId="0" applyFont="1" applyBorder="1" applyAlignment="1">
      <alignment horizontal="center" vertical="top" wrapText="1"/>
    </xf>
    <xf numFmtId="0" fontId="39" fillId="0" borderId="4" xfId="543" applyFont="1" applyBorder="1" applyAlignment="1">
      <alignment horizontal="right" vertical="top" wrapText="1"/>
    </xf>
    <xf numFmtId="0" fontId="39" fillId="0" borderId="5" xfId="543" applyFont="1" applyBorder="1" applyAlignment="1">
      <alignment horizontal="right" vertical="top" wrapText="1"/>
    </xf>
    <xf numFmtId="0" fontId="19" fillId="0" borderId="8" xfId="543" applyBorder="1" applyAlignment="1">
      <alignment horizontal="left" vertical="top" wrapText="1"/>
    </xf>
    <xf numFmtId="0" fontId="19" fillId="0" borderId="0" xfId="543" applyAlignment="1">
      <alignment horizontal="left" vertical="top" wrapText="1"/>
    </xf>
    <xf numFmtId="0" fontId="19" fillId="0" borderId="12" xfId="543" applyBorder="1" applyAlignment="1">
      <alignment horizontal="left" vertical="top" wrapText="1"/>
    </xf>
    <xf numFmtId="0" fontId="27" fillId="0" borderId="3" xfId="543" applyFont="1" applyBorder="1" applyAlignment="1">
      <alignment horizontal="center"/>
    </xf>
    <xf numFmtId="0" fontId="27" fillId="0" borderId="5" xfId="543" applyFont="1" applyBorder="1" applyAlignment="1">
      <alignment horizontal="center"/>
    </xf>
    <xf numFmtId="1" fontId="27" fillId="0" borderId="3" xfId="543" applyNumberFormat="1" applyFont="1" applyBorder="1" applyAlignment="1">
      <alignment horizontal="center"/>
    </xf>
    <xf numFmtId="1" fontId="27" fillId="0" borderId="5" xfId="543" applyNumberFormat="1" applyFont="1" applyBorder="1" applyAlignment="1">
      <alignment horizontal="center"/>
    </xf>
    <xf numFmtId="0" fontId="38" fillId="0" borderId="3" xfId="543" applyFont="1" applyBorder="1" applyAlignment="1">
      <alignment horizontal="center"/>
    </xf>
    <xf numFmtId="0" fontId="38" fillId="0" borderId="5" xfId="543" applyFont="1" applyBorder="1" applyAlignment="1">
      <alignment horizontal="center"/>
    </xf>
    <xf numFmtId="0" fontId="38" fillId="5" borderId="3" xfId="543" applyFont="1" applyFill="1" applyBorder="1" applyAlignment="1" applyProtection="1">
      <alignment horizontal="center"/>
      <protection locked="0"/>
    </xf>
    <xf numFmtId="0" fontId="38" fillId="5" borderId="5" xfId="543" applyFont="1" applyFill="1" applyBorder="1" applyAlignment="1" applyProtection="1">
      <alignment horizontal="center"/>
      <protection locked="0"/>
    </xf>
    <xf numFmtId="0" fontId="40" fillId="0" borderId="3" xfId="543" applyFont="1" applyBorder="1" applyAlignment="1">
      <alignment horizontal="center"/>
    </xf>
    <xf numFmtId="0" fontId="40" fillId="0" borderId="4" xfId="543" applyFont="1" applyBorder="1" applyAlignment="1">
      <alignment horizontal="center"/>
    </xf>
    <xf numFmtId="0" fontId="40" fillId="0" borderId="5" xfId="543" applyFont="1" applyBorder="1" applyAlignment="1">
      <alignment horizontal="center"/>
    </xf>
    <xf numFmtId="168" fontId="19" fillId="10" borderId="3" xfId="543" applyNumberFormat="1" applyFill="1" applyBorder="1" applyAlignment="1">
      <alignment horizontal="center"/>
    </xf>
    <xf numFmtId="168" fontId="19" fillId="10" borderId="4" xfId="543" applyNumberFormat="1" applyFill="1" applyBorder="1" applyAlignment="1">
      <alignment horizontal="center"/>
    </xf>
    <xf numFmtId="168" fontId="19" fillId="10" borderId="5" xfId="543" applyNumberFormat="1" applyFill="1" applyBorder="1" applyAlignment="1">
      <alignment horizontal="center"/>
    </xf>
    <xf numFmtId="0" fontId="27" fillId="5" borderId="3" xfId="0" applyFont="1" applyFill="1" applyBorder="1" applyAlignment="1" applyProtection="1">
      <alignment horizontal="left"/>
      <protection locked="0"/>
    </xf>
    <xf numFmtId="168" fontId="26" fillId="0" borderId="3" xfId="543" applyNumberFormat="1" applyFont="1" applyBorder="1" applyAlignment="1">
      <alignment horizontal="center" vertical="center"/>
    </xf>
    <xf numFmtId="168" fontId="26" fillId="0" borderId="4" xfId="543" applyNumberFormat="1" applyFont="1" applyBorder="1" applyAlignment="1">
      <alignment horizontal="center" vertical="center"/>
    </xf>
    <xf numFmtId="168" fontId="26" fillId="0" borderId="5" xfId="543" applyNumberFormat="1" applyFont="1" applyBorder="1" applyAlignment="1">
      <alignment horizontal="center" vertical="center"/>
    </xf>
    <xf numFmtId="0" fontId="19" fillId="0" borderId="8" xfId="0" applyFont="1" applyBorder="1" applyAlignment="1">
      <alignment horizontal="left" wrapText="1"/>
    </xf>
    <xf numFmtId="0" fontId="19" fillId="0" borderId="12" xfId="0" applyFont="1" applyBorder="1" applyAlignment="1">
      <alignment horizontal="left" wrapText="1"/>
    </xf>
    <xf numFmtId="0" fontId="19" fillId="0" borderId="9" xfId="0" applyFont="1" applyBorder="1" applyAlignment="1">
      <alignment horizontal="left" wrapText="1"/>
    </xf>
    <xf numFmtId="0" fontId="19" fillId="0" borderId="6" xfId="0" applyFont="1" applyBorder="1" applyAlignment="1">
      <alignment horizontal="left" wrapText="1"/>
    </xf>
    <xf numFmtId="0" fontId="19" fillId="0" borderId="10" xfId="0" applyFont="1" applyBorder="1" applyAlignment="1">
      <alignment horizontal="left" wrapText="1"/>
    </xf>
    <xf numFmtId="0" fontId="26" fillId="0" borderId="1" xfId="543" applyFont="1" applyBorder="1" applyAlignment="1">
      <alignment horizontal="left" vertical="center" wrapText="1"/>
    </xf>
    <xf numFmtId="0" fontId="26" fillId="0" borderId="2" xfId="543" applyFont="1" applyBorder="1" applyAlignment="1">
      <alignment horizontal="left" vertical="center" wrapText="1"/>
    </xf>
    <xf numFmtId="0" fontId="26" fillId="0" borderId="7" xfId="543" applyFont="1" applyBorder="1" applyAlignment="1">
      <alignment horizontal="left" vertical="center" wrapText="1"/>
    </xf>
    <xf numFmtId="0" fontId="38" fillId="5" borderId="9" xfId="543" applyFont="1" applyFill="1" applyBorder="1" applyAlignment="1" applyProtection="1">
      <alignment horizontal="center"/>
      <protection locked="0"/>
    </xf>
    <xf numFmtId="0" fontId="38" fillId="5" borderId="10" xfId="543" applyFont="1" applyFill="1" applyBorder="1" applyAlignment="1" applyProtection="1">
      <alignment horizontal="center"/>
      <protection locked="0"/>
    </xf>
    <xf numFmtId="0" fontId="27" fillId="5" borderId="3" xfId="543" applyFont="1"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9" fillId="2" borderId="3" xfId="543" applyFill="1" applyBorder="1" applyAlignment="1">
      <alignment horizontal="center"/>
    </xf>
    <xf numFmtId="0" fontId="19" fillId="2" borderId="4" xfId="543" applyFill="1" applyBorder="1" applyAlignment="1">
      <alignment horizontal="center"/>
    </xf>
    <xf numFmtId="0" fontId="19" fillId="2" borderId="5" xfId="543" applyFill="1" applyBorder="1" applyAlignment="1">
      <alignment horizontal="center"/>
    </xf>
    <xf numFmtId="0" fontId="26" fillId="0" borderId="1" xfId="543" applyFont="1" applyBorder="1" applyAlignment="1">
      <alignment horizontal="left" vertical="top" wrapText="1"/>
    </xf>
    <xf numFmtId="0" fontId="26" fillId="0" borderId="2" xfId="543" applyFont="1" applyBorder="1" applyAlignment="1">
      <alignment horizontal="left" vertical="top" wrapText="1"/>
    </xf>
    <xf numFmtId="0" fontId="26" fillId="0" borderId="7" xfId="543" applyFont="1" applyBorder="1" applyAlignment="1">
      <alignment horizontal="left" vertical="top" wrapText="1"/>
    </xf>
    <xf numFmtId="0" fontId="26" fillId="0" borderId="8" xfId="543" applyFont="1" applyBorder="1" applyAlignment="1">
      <alignment horizontal="left" vertical="top" wrapText="1"/>
    </xf>
    <xf numFmtId="0" fontId="26" fillId="0" borderId="0" xfId="543" applyFont="1" applyAlignment="1">
      <alignment horizontal="left" vertical="top" wrapText="1"/>
    </xf>
    <xf numFmtId="0" fontId="26" fillId="0" borderId="12" xfId="543" applyFont="1" applyBorder="1" applyAlignment="1">
      <alignment horizontal="left" vertical="top" wrapText="1"/>
    </xf>
    <xf numFmtId="0" fontId="152" fillId="0" borderId="8" xfId="543" applyFont="1" applyBorder="1" applyAlignment="1">
      <alignment horizontal="center" vertical="center" wrapText="1"/>
    </xf>
    <xf numFmtId="0" fontId="152" fillId="0" borderId="0" xfId="543" applyFont="1" applyAlignment="1">
      <alignment horizontal="center" vertical="center" wrapText="1"/>
    </xf>
    <xf numFmtId="0" fontId="152"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27" fillId="5" borderId="3" xfId="0" applyNumberFormat="1" applyFont="1" applyFill="1" applyBorder="1" applyAlignment="1" applyProtection="1">
      <alignment horizontal="left"/>
      <protection locked="0"/>
    </xf>
    <xf numFmtId="164" fontId="38" fillId="5" borderId="4" xfId="0" applyNumberFormat="1" applyFont="1" applyFill="1" applyBorder="1" applyAlignment="1" applyProtection="1">
      <alignment horizontal="left"/>
      <protection locked="0"/>
    </xf>
    <xf numFmtId="164" fontId="38"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19" fillId="5" borderId="3" xfId="543" applyFill="1" applyBorder="1" applyAlignment="1" applyProtection="1">
      <alignment horizontal="left" vertical="top" wrapText="1"/>
      <protection locked="0"/>
    </xf>
    <xf numFmtId="0" fontId="28" fillId="5" borderId="4" xfId="543" applyFont="1" applyFill="1" applyBorder="1" applyAlignment="1" applyProtection="1">
      <alignment horizontal="left" vertical="top" wrapText="1"/>
      <protection locked="0"/>
    </xf>
    <xf numFmtId="0" fontId="28" fillId="5" borderId="5" xfId="543" applyFont="1" applyFill="1" applyBorder="1" applyAlignment="1" applyProtection="1">
      <alignment horizontal="left" vertical="top" wrapText="1"/>
      <protection locked="0"/>
    </xf>
    <xf numFmtId="0" fontId="0" fillId="0" borderId="3" xfId="0" applyBorder="1"/>
    <xf numFmtId="0" fontId="0" fillId="0" borderId="4" xfId="0" applyBorder="1"/>
    <xf numFmtId="0" fontId="0" fillId="0" borderId="5" xfId="0" applyBorder="1"/>
    <xf numFmtId="0" fontId="46" fillId="0" borderId="8" xfId="543" applyFont="1" applyBorder="1" applyAlignment="1">
      <alignment horizontal="center" vertical="center" wrapText="1"/>
    </xf>
    <xf numFmtId="0" fontId="46" fillId="0" borderId="0" xfId="543" applyFont="1" applyAlignment="1">
      <alignment horizontal="center" vertical="center" wrapText="1"/>
    </xf>
    <xf numFmtId="0" fontId="46" fillId="0" borderId="12" xfId="543" applyFont="1" applyBorder="1" applyAlignment="1">
      <alignment horizontal="center" vertical="center" wrapText="1"/>
    </xf>
    <xf numFmtId="0" fontId="39" fillId="0" borderId="1" xfId="543" applyFont="1" applyBorder="1" applyAlignment="1">
      <alignment horizontal="right"/>
    </xf>
    <xf numFmtId="0" fontId="39" fillId="0" borderId="2" xfId="543" applyFont="1" applyBorder="1" applyAlignment="1">
      <alignment horizontal="right"/>
    </xf>
    <xf numFmtId="0" fontId="39" fillId="0" borderId="7" xfId="543" applyFont="1" applyBorder="1" applyAlignment="1">
      <alignment horizontal="right"/>
    </xf>
    <xf numFmtId="0" fontId="26" fillId="0" borderId="3" xfId="543" applyFont="1" applyBorder="1" applyAlignment="1">
      <alignment horizontal="right"/>
    </xf>
    <xf numFmtId="0" fontId="26" fillId="0" borderId="4" xfId="543" applyFont="1" applyBorder="1" applyAlignment="1">
      <alignment horizontal="right"/>
    </xf>
    <xf numFmtId="0" fontId="26" fillId="0" borderId="5" xfId="543" applyFont="1" applyBorder="1" applyAlignment="1">
      <alignment horizontal="right"/>
    </xf>
    <xf numFmtId="0" fontId="26" fillId="0" borderId="1" xfId="0" applyFont="1" applyBorder="1" applyAlignment="1">
      <alignment horizontal="center" wrapText="1"/>
    </xf>
    <xf numFmtId="0" fontId="26" fillId="0" borderId="2" xfId="0" applyFont="1" applyBorder="1" applyAlignment="1">
      <alignment horizontal="center" wrapText="1"/>
    </xf>
    <xf numFmtId="0" fontId="26" fillId="0" borderId="8" xfId="0" applyFont="1" applyBorder="1" applyAlignment="1">
      <alignment horizontal="center" wrapText="1"/>
    </xf>
    <xf numFmtId="0" fontId="26" fillId="0" borderId="0" xfId="0" applyFont="1" applyAlignment="1">
      <alignment horizontal="center" wrapText="1"/>
    </xf>
    <xf numFmtId="0" fontId="26" fillId="0" borderId="9" xfId="0" applyFont="1" applyBorder="1" applyAlignment="1">
      <alignment horizontal="center" wrapText="1"/>
    </xf>
    <xf numFmtId="0" fontId="26" fillId="0" borderId="6" xfId="0" applyFont="1" applyBorder="1" applyAlignment="1">
      <alignment horizontal="center" wrapText="1"/>
    </xf>
    <xf numFmtId="168" fontId="19"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6" fillId="10" borderId="3" xfId="543" applyFont="1" applyFill="1" applyBorder="1" applyAlignment="1">
      <alignment horizontal="center"/>
    </xf>
    <xf numFmtId="0" fontId="26" fillId="10" borderId="4" xfId="543" applyFont="1" applyFill="1" applyBorder="1" applyAlignment="1">
      <alignment horizontal="center"/>
    </xf>
    <xf numFmtId="0" fontId="26" fillId="10" borderId="5" xfId="543" applyFont="1" applyFill="1" applyBorder="1" applyAlignment="1">
      <alignment horizontal="center"/>
    </xf>
    <xf numFmtId="0" fontId="38" fillId="5" borderId="3" xfId="543" applyFont="1" applyFill="1" applyBorder="1" applyAlignment="1" applyProtection="1">
      <alignment horizontal="center" vertical="top"/>
      <protection locked="0"/>
    </xf>
    <xf numFmtId="0" fontId="38" fillId="5" borderId="5" xfId="543" applyFont="1" applyFill="1" applyBorder="1" applyAlignment="1" applyProtection="1">
      <alignment horizontal="center" vertical="top"/>
      <protection locked="0"/>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6" fillId="0" borderId="12" xfId="0" applyFont="1" applyBorder="1" applyAlignment="1">
      <alignment horizontal="center" wrapText="1"/>
    </xf>
    <xf numFmtId="0" fontId="26" fillId="0" borderId="10" xfId="0" applyFont="1" applyBorder="1" applyAlignment="1">
      <alignment horizontal="center" wrapText="1"/>
    </xf>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7" fillId="5" borderId="4" xfId="0" applyNumberFormat="1" applyFont="1" applyFill="1" applyBorder="1" applyAlignment="1" applyProtection="1">
      <alignment horizontal="left"/>
      <protection locked="0"/>
    </xf>
    <xf numFmtId="164" fontId="27" fillId="5" borderId="5" xfId="0" applyNumberFormat="1" applyFont="1" applyFill="1" applyBorder="1" applyAlignment="1" applyProtection="1">
      <alignment horizontal="left"/>
      <protection locked="0"/>
    </xf>
    <xf numFmtId="0" fontId="19" fillId="0" borderId="3" xfId="0" applyFont="1" applyBorder="1"/>
    <xf numFmtId="0" fontId="19" fillId="0" borderId="4" xfId="0" applyFont="1" applyBorder="1"/>
    <xf numFmtId="0" fontId="19" fillId="0" borderId="5" xfId="0" applyFont="1" applyBorder="1"/>
    <xf numFmtId="0" fontId="19" fillId="43" borderId="11" xfId="0" applyFont="1" applyFill="1" applyBorder="1" applyAlignment="1" applyProtection="1">
      <alignment horizontal="center"/>
      <protection locked="0"/>
    </xf>
    <xf numFmtId="1" fontId="28" fillId="5" borderId="11" xfId="0" applyNumberFormat="1" applyFon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11" xfId="0" applyNumberFormat="1" applyFill="1" applyBorder="1" applyProtection="1">
      <protection locked="0"/>
    </xf>
    <xf numFmtId="165" fontId="26" fillId="0" borderId="3" xfId="271" applyNumberFormat="1" applyFont="1" applyBorder="1" applyAlignment="1">
      <alignment horizontal="center"/>
    </xf>
    <xf numFmtId="165" fontId="26" fillId="0" borderId="4" xfId="271" applyNumberFormat="1" applyFont="1" applyBorder="1" applyAlignment="1">
      <alignment horizontal="center"/>
    </xf>
    <xf numFmtId="165" fontId="26" fillId="0" borderId="5" xfId="271" applyNumberFormat="1" applyFont="1" applyBorder="1" applyAlignment="1">
      <alignment horizontal="center"/>
    </xf>
    <xf numFmtId="168" fontId="0" fillId="5" borderId="11" xfId="0" applyNumberFormat="1" applyFill="1" applyBorder="1" applyAlignment="1" applyProtection="1">
      <alignment horizontal="center"/>
      <protection locked="0"/>
    </xf>
    <xf numFmtId="168" fontId="19" fillId="5" borderId="3" xfId="0" applyNumberFormat="1" applyFont="1" applyFill="1" applyBorder="1" applyAlignment="1" applyProtection="1">
      <alignment horizontal="left"/>
      <protection locked="0"/>
    </xf>
    <xf numFmtId="168" fontId="19" fillId="5" borderId="4" xfId="0" applyNumberFormat="1" applyFont="1" applyFill="1" applyBorder="1" applyAlignment="1" applyProtection="1">
      <alignment horizontal="left"/>
      <protection locked="0"/>
    </xf>
    <xf numFmtId="168" fontId="19" fillId="5" borderId="5" xfId="0" applyNumberFormat="1" applyFont="1" applyFill="1" applyBorder="1" applyAlignment="1" applyProtection="1">
      <alignment horizontal="left"/>
      <protection locked="0"/>
    </xf>
    <xf numFmtId="1" fontId="19" fillId="0" borderId="3" xfId="0" applyNumberFormat="1" applyFont="1" applyBorder="1" applyAlignment="1">
      <alignment horizontal="center"/>
    </xf>
    <xf numFmtId="1" fontId="28" fillId="0" borderId="4" xfId="0" applyNumberFormat="1" applyFont="1" applyBorder="1" applyAlignment="1">
      <alignment horizontal="center"/>
    </xf>
    <xf numFmtId="1" fontId="28" fillId="0" borderId="5" xfId="0" applyNumberFormat="1" applyFont="1" applyBorder="1" applyAlignment="1">
      <alignment horizontal="center"/>
    </xf>
    <xf numFmtId="0" fontId="28" fillId="5" borderId="6" xfId="271" applyFill="1" applyBorder="1" applyProtection="1">
      <protection locked="0"/>
    </xf>
    <xf numFmtId="0" fontId="26" fillId="0" borderId="6" xfId="0" applyFont="1" applyBorder="1" applyAlignment="1">
      <alignment horizontal="center"/>
    </xf>
    <xf numFmtId="9" fontId="19" fillId="5" borderId="3" xfId="0" applyNumberFormat="1" applyFont="1" applyFill="1" applyBorder="1" applyAlignment="1" applyProtection="1">
      <alignment horizontal="right"/>
      <protection locked="0"/>
    </xf>
    <xf numFmtId="0" fontId="19" fillId="0" borderId="0" xfId="543" applyAlignment="1">
      <alignment horizontal="center"/>
    </xf>
    <xf numFmtId="2" fontId="19" fillId="0" borderId="0" xfId="543" applyNumberFormat="1" applyAlignment="1">
      <alignment horizontal="center"/>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6" fillId="5" borderId="3" xfId="0" applyFont="1" applyFill="1" applyBorder="1" applyAlignment="1" applyProtection="1">
      <alignment horizontal="right"/>
      <protection locked="0"/>
    </xf>
    <xf numFmtId="0" fontId="26" fillId="5" borderId="4" xfId="0" applyFont="1" applyFill="1" applyBorder="1" applyAlignment="1" applyProtection="1">
      <alignment horizontal="right"/>
      <protection locked="0"/>
    </xf>
    <xf numFmtId="0" fontId="26" fillId="5" borderId="5" xfId="0" applyFont="1" applyFill="1" applyBorder="1" applyAlignment="1" applyProtection="1">
      <alignment horizontal="right"/>
      <protection locked="0"/>
    </xf>
    <xf numFmtId="168" fontId="0" fillId="0" borderId="11" xfId="0" applyNumberFormat="1" applyBorder="1" applyAlignment="1">
      <alignment horizontal="center"/>
    </xf>
    <xf numFmtId="0" fontId="26" fillId="0" borderId="7" xfId="0" applyFont="1" applyBorder="1" applyAlignment="1">
      <alignment horizontal="center" wrapText="1"/>
    </xf>
    <xf numFmtId="0" fontId="28" fillId="0" borderId="3" xfId="0" applyFont="1" applyBorder="1" applyAlignment="1">
      <alignment horizontal="left"/>
    </xf>
    <xf numFmtId="0" fontId="0" fillId="0" borderId="4" xfId="0" applyBorder="1" applyAlignment="1">
      <alignment horizontal="left"/>
    </xf>
    <xf numFmtId="0" fontId="0" fillId="0" borderId="3" xfId="0" applyBorder="1" applyAlignment="1">
      <alignment horizontal="left"/>
    </xf>
    <xf numFmtId="168" fontId="0" fillId="0" borderId="11" xfId="0" applyNumberFormat="1" applyBorder="1" applyAlignment="1">
      <alignment horizontal="right"/>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38" fillId="5" borderId="3" xfId="543" applyFont="1" applyFill="1" applyBorder="1" applyAlignment="1">
      <alignment horizontal="center"/>
    </xf>
    <xf numFmtId="0" fontId="38" fillId="5" borderId="4" xfId="543" applyFont="1" applyFill="1" applyBorder="1" applyAlignment="1">
      <alignment horizontal="center"/>
    </xf>
    <xf numFmtId="0" fontId="38" fillId="5" borderId="5" xfId="543" applyFont="1" applyFill="1" applyBorder="1" applyAlignment="1">
      <alignment horizontal="center"/>
    </xf>
    <xf numFmtId="49" fontId="19" fillId="5" borderId="3" xfId="543" applyNumberFormat="1" applyFill="1" applyBorder="1" applyAlignment="1">
      <alignment horizontal="center"/>
    </xf>
    <xf numFmtId="49" fontId="19" fillId="5" borderId="5" xfId="543" applyNumberFormat="1" applyFill="1" applyBorder="1" applyAlignment="1">
      <alignment horizontal="center"/>
    </xf>
    <xf numFmtId="171" fontId="19" fillId="0" borderId="0" xfId="543" applyNumberFormat="1" applyAlignment="1">
      <alignment horizontal="center"/>
    </xf>
    <xf numFmtId="0" fontId="26" fillId="0" borderId="11" xfId="0"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19" fillId="5" borderId="11" xfId="0" applyFont="1" applyFill="1" applyBorder="1" applyAlignment="1" applyProtection="1">
      <alignment vertical="center" wrapText="1"/>
      <protection locked="0"/>
    </xf>
    <xf numFmtId="0" fontId="19" fillId="5" borderId="11" xfId="0" applyFont="1" applyFill="1" applyBorder="1" applyAlignment="1" applyProtection="1">
      <alignment horizontal="left" vertical="center" wrapText="1"/>
      <protection locked="0"/>
    </xf>
    <xf numFmtId="0" fontId="26" fillId="0" borderId="9" xfId="0" applyFont="1" applyBorder="1" applyAlignment="1">
      <alignment horizontal="right"/>
    </xf>
    <xf numFmtId="0" fontId="26" fillId="0" borderId="6" xfId="0" applyFont="1" applyBorder="1" applyAlignment="1">
      <alignment horizontal="right"/>
    </xf>
    <xf numFmtId="0" fontId="26" fillId="0" borderId="10" xfId="0" applyFont="1" applyBorder="1" applyAlignment="1">
      <alignment horizontal="right"/>
    </xf>
    <xf numFmtId="10" fontId="0" fillId="5" borderId="4" xfId="0" applyNumberFormat="1" applyFill="1" applyBorder="1" applyAlignment="1" applyProtection="1">
      <alignment horizontal="center"/>
      <protection locked="0"/>
    </xf>
    <xf numFmtId="0" fontId="26" fillId="0" borderId="11" xfId="0" applyFont="1" applyBorder="1" applyAlignment="1">
      <alignment horizontal="center" vertical="center"/>
    </xf>
    <xf numFmtId="172" fontId="26" fillId="0" borderId="11" xfId="0" applyNumberFormat="1" applyFont="1" applyBorder="1" applyAlignment="1">
      <alignment horizontal="center" vertical="center" wrapText="1"/>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0" xfId="0" applyFont="1" applyAlignment="1">
      <alignment horizontal="center" vertical="center" wrapText="1"/>
    </xf>
    <xf numFmtId="0" fontId="35" fillId="0" borderId="12"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10" xfId="0" applyFont="1" applyBorder="1" applyAlignment="1">
      <alignment horizontal="center" vertical="center" wrapText="1"/>
    </xf>
    <xf numFmtId="14" fontId="0" fillId="5" borderId="6" xfId="0" applyNumberFormat="1" applyFill="1" applyBorder="1" applyAlignment="1" applyProtection="1">
      <alignment horizontal="center"/>
      <protection locked="0"/>
    </xf>
    <xf numFmtId="0" fontId="19" fillId="5" borderId="3" xfId="0" applyFont="1" applyFill="1" applyBorder="1" applyProtection="1">
      <protection locked="0"/>
    </xf>
    <xf numFmtId="0" fontId="28" fillId="0" borderId="4" xfId="0" applyFont="1" applyBorder="1" applyProtection="1">
      <protection locked="0"/>
    </xf>
    <xf numFmtId="0" fontId="28" fillId="0" borderId="5" xfId="0" applyFont="1" applyBorder="1" applyProtection="1">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0" borderId="11" xfId="0" applyNumberFormat="1" applyBorder="1"/>
    <xf numFmtId="0" fontId="26" fillId="0" borderId="2" xfId="0" applyFont="1" applyBorder="1" applyAlignment="1">
      <alignment horizontal="right"/>
    </xf>
    <xf numFmtId="0" fontId="26" fillId="0" borderId="7" xfId="0" applyFont="1" applyBorder="1" applyAlignment="1">
      <alignment horizontal="right"/>
    </xf>
    <xf numFmtId="14" fontId="0" fillId="5" borderId="4" xfId="0" applyNumberFormat="1" applyFill="1" applyBorder="1" applyAlignment="1" applyProtection="1">
      <alignment horizontal="center"/>
      <protection locked="0"/>
    </xf>
    <xf numFmtId="0" fontId="26" fillId="0" borderId="0" xfId="0" applyFont="1" applyAlignment="1">
      <alignment horizontal="center" vertical="center"/>
    </xf>
    <xf numFmtId="9" fontId="19" fillId="0" borderId="0" xfId="543" applyNumberFormat="1" applyAlignment="1">
      <alignment horizontal="center" vertical="center"/>
    </xf>
    <xf numFmtId="0" fontId="26" fillId="0" borderId="1" xfId="0" applyFont="1" applyBorder="1" applyAlignment="1">
      <alignment horizontal="center"/>
    </xf>
    <xf numFmtId="0" fontId="26" fillId="0" borderId="2" xfId="0" applyFont="1" applyBorder="1" applyAlignment="1">
      <alignment horizontal="center"/>
    </xf>
    <xf numFmtId="0" fontId="26" fillId="0" borderId="7" xfId="0" applyFont="1" applyBorder="1" applyAlignment="1">
      <alignment horizontal="center"/>
    </xf>
    <xf numFmtId="168" fontId="19" fillId="5" borderId="10" xfId="0" applyNumberFormat="1" applyFont="1" applyFill="1" applyBorder="1" applyAlignment="1" applyProtection="1">
      <alignment horizontal="right"/>
      <protection locked="0"/>
    </xf>
    <xf numFmtId="168" fontId="19" fillId="5" borderId="13" xfId="0" applyNumberFormat="1" applyFont="1" applyFill="1" applyBorder="1" applyAlignment="1" applyProtection="1">
      <alignment horizontal="right"/>
      <protection locked="0"/>
    </xf>
    <xf numFmtId="3" fontId="0" fillId="0" borderId="4" xfId="0" applyNumberFormat="1" applyBorder="1" applyAlignment="1">
      <alignment horizontal="right"/>
    </xf>
    <xf numFmtId="3" fontId="0" fillId="0" borderId="5" xfId="0" applyNumberFormat="1" applyBorder="1" applyAlignment="1">
      <alignment horizontal="right"/>
    </xf>
    <xf numFmtId="171" fontId="19" fillId="0" borderId="0" xfId="543" applyNumberFormat="1" applyAlignment="1">
      <alignment horizontal="right"/>
    </xf>
    <xf numFmtId="0" fontId="26" fillId="5" borderId="11" xfId="0" applyFont="1" applyFill="1" applyBorder="1" applyAlignment="1" applyProtection="1">
      <alignment horizontal="center"/>
      <protection locked="0"/>
    </xf>
    <xf numFmtId="14" fontId="0" fillId="5" borderId="3" xfId="0" quotePrefix="1" applyNumberFormat="1" applyFill="1" applyBorder="1" applyAlignment="1" applyProtection="1">
      <alignment horizontal="right"/>
      <protection locked="0"/>
    </xf>
    <xf numFmtId="0" fontId="28" fillId="0" borderId="11" xfId="0" applyFont="1" applyBorder="1" applyAlignment="1">
      <alignment horizontal="center" vertical="top" wrapText="1"/>
    </xf>
    <xf numFmtId="0" fontId="19"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28" fillId="0" borderId="11" xfId="0" applyFont="1" applyBorder="1" applyAlignment="1">
      <alignment horizontal="center"/>
    </xf>
    <xf numFmtId="168" fontId="156" fillId="0" borderId="0" xfId="0" applyNumberFormat="1" applyFont="1" applyAlignment="1">
      <alignment horizontal="center" vertical="center" wrapText="1"/>
    </xf>
    <xf numFmtId="0" fontId="0" fillId="5" borderId="3" xfId="0" quotePrefix="1" applyFill="1" applyBorder="1" applyAlignment="1" applyProtection="1">
      <alignment horizontal="right"/>
      <protection locked="0"/>
    </xf>
    <xf numFmtId="168" fontId="55" fillId="0" borderId="2" xfId="0" applyNumberFormat="1" applyFont="1" applyBorder="1" applyAlignment="1">
      <alignment horizontal="left" vertical="top" wrapText="1"/>
    </xf>
    <xf numFmtId="168" fontId="55"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3" fontId="28" fillId="5" borderId="11" xfId="0" applyNumberFormat="1" applyFont="1" applyFill="1" applyBorder="1" applyAlignment="1" applyProtection="1">
      <alignment horizontal="center"/>
      <protection locked="0"/>
    </xf>
    <xf numFmtId="168" fontId="28"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0" fontId="19"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68" fontId="28" fillId="5" borderId="6" xfId="0" applyNumberFormat="1" applyFont="1" applyFill="1" applyBorder="1" applyAlignment="1" applyProtection="1">
      <alignment horizontal="right"/>
      <protection locked="0"/>
    </xf>
    <xf numFmtId="168" fontId="28" fillId="5" borderId="3" xfId="0" applyNumberFormat="1" applyFont="1" applyFill="1" applyBorder="1" applyAlignment="1" applyProtection="1">
      <alignment horizontal="left" vertical="top"/>
      <protection locked="0"/>
    </xf>
    <xf numFmtId="168" fontId="28" fillId="5" borderId="4" xfId="0" applyNumberFormat="1" applyFont="1" applyFill="1" applyBorder="1" applyAlignment="1" applyProtection="1">
      <alignment horizontal="left" vertical="top"/>
      <protection locked="0"/>
    </xf>
    <xf numFmtId="168" fontId="28" fillId="5" borderId="5" xfId="0" applyNumberFormat="1" applyFont="1" applyFill="1" applyBorder="1" applyAlignment="1" applyProtection="1">
      <alignment horizontal="left" vertical="top"/>
      <protection locked="0"/>
    </xf>
    <xf numFmtId="0" fontId="0" fillId="0" borderId="6" xfId="0" applyBorder="1" applyAlignment="1">
      <alignment horizontal="center"/>
    </xf>
    <xf numFmtId="0" fontId="0" fillId="0" borderId="10" xfId="0" applyBorder="1" applyAlignment="1">
      <alignment horizont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5" xfId="0" applyFont="1" applyBorder="1" applyAlignment="1">
      <alignment horizontal="center"/>
    </xf>
    <xf numFmtId="0" fontId="19" fillId="0" borderId="3" xfId="271" applyFont="1" applyBorder="1" applyAlignment="1">
      <alignment horizontal="left"/>
    </xf>
    <xf numFmtId="0" fontId="19" fillId="0" borderId="4" xfId="271" applyFont="1" applyBorder="1" applyAlignment="1">
      <alignment horizontal="left"/>
    </xf>
    <xf numFmtId="0" fontId="19" fillId="0" borderId="5" xfId="271" applyFont="1" applyBorder="1" applyAlignment="1">
      <alignment horizontal="left"/>
    </xf>
    <xf numFmtId="168" fontId="28" fillId="0" borderId="3" xfId="0" applyNumberFormat="1" applyFont="1" applyBorder="1" applyAlignment="1">
      <alignment horizontal="left" vertical="top"/>
    </xf>
    <xf numFmtId="168" fontId="28" fillId="0" borderId="4" xfId="0" applyNumberFormat="1" applyFont="1" applyBorder="1" applyAlignment="1">
      <alignment horizontal="left" vertical="top"/>
    </xf>
    <xf numFmtId="168" fontId="28" fillId="0" borderId="5" xfId="0" applyNumberFormat="1" applyFont="1" applyBorder="1" applyAlignment="1">
      <alignment horizontal="left" vertical="top"/>
    </xf>
    <xf numFmtId="10" fontId="28" fillId="5" borderId="4" xfId="0" applyNumberFormat="1" applyFon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2" fontId="0" fillId="0" borderId="6" xfId="0" applyNumberFormat="1" applyBorder="1" applyAlignment="1">
      <alignment horizontal="center"/>
    </xf>
    <xf numFmtId="3" fontId="0" fillId="0" borderId="6" xfId="0" applyNumberFormat="1" applyBorder="1" applyAlignment="1">
      <alignment horizontal="right"/>
    </xf>
    <xf numFmtId="0" fontId="28" fillId="5" borderId="11" xfId="0" applyFont="1" applyFill="1" applyBorder="1" applyAlignment="1" applyProtection="1">
      <alignment horizontal="center"/>
      <protection locked="0"/>
    </xf>
    <xf numFmtId="166" fontId="28" fillId="5" borderId="6" xfId="271" applyNumberFormat="1" applyFill="1" applyBorder="1" applyAlignment="1" applyProtection="1">
      <alignment horizontal="left"/>
      <protection locked="0"/>
    </xf>
    <xf numFmtId="166" fontId="28"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8" fillId="0" borderId="6" xfId="0" applyFont="1" applyBorder="1" applyAlignment="1">
      <alignment horizontal="left"/>
    </xf>
    <xf numFmtId="0" fontId="19" fillId="5" borderId="6" xfId="244" applyFont="1" applyFill="1" applyBorder="1" applyAlignment="1" applyProtection="1">
      <alignment horizontal="left"/>
      <protection locked="0"/>
    </xf>
    <xf numFmtId="166" fontId="19" fillId="5" borderId="6" xfId="0" applyNumberFormat="1" applyFont="1" applyFill="1" applyBorder="1" applyAlignment="1" applyProtection="1">
      <alignment horizontal="left"/>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9" fillId="5" borderId="0" xfId="244" applyFont="1" applyFill="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19" fillId="0" borderId="0" xfId="271" applyFont="1" applyAlignment="1">
      <alignment horizontal="left" vertical="top" wrapText="1"/>
    </xf>
    <xf numFmtId="0" fontId="19"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8"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9" fillId="0" borderId="0" xfId="0" applyFont="1" applyAlignment="1" applyProtection="1">
      <alignment horizontal="left"/>
      <protection locked="0"/>
    </xf>
    <xf numFmtId="9" fontId="27" fillId="0" borderId="3" xfId="4494" applyFont="1" applyBorder="1" applyAlignment="1" applyProtection="1">
      <alignment horizontal="center"/>
    </xf>
    <xf numFmtId="9" fontId="27" fillId="0" borderId="5" xfId="4494" applyFont="1" applyBorder="1" applyAlignment="1" applyProtection="1">
      <alignment horizontal="center"/>
    </xf>
    <xf numFmtId="0" fontId="0" fillId="5" borderId="6" xfId="0" applyFill="1" applyBorder="1" applyProtection="1">
      <protection locked="0"/>
    </xf>
    <xf numFmtId="0" fontId="27" fillId="43" borderId="6" xfId="0" applyFont="1" applyFill="1" applyBorder="1" applyAlignment="1" applyProtection="1">
      <alignment horizontal="left"/>
      <protection locked="0"/>
    </xf>
    <xf numFmtId="0" fontId="153" fillId="0" borderId="0" xfId="0" applyFont="1" applyAlignment="1" applyProtection="1">
      <alignment horizontal="left" vertical="top" wrapText="1"/>
      <protection locked="0"/>
    </xf>
    <xf numFmtId="0" fontId="19" fillId="0" borderId="6" xfId="0" applyFont="1" applyBorder="1" applyAlignment="1" applyProtection="1">
      <alignment horizontal="left"/>
      <protection locked="0"/>
    </xf>
    <xf numFmtId="0" fontId="20" fillId="0" borderId="0" xfId="244" applyFill="1" applyAlignment="1" applyProtection="1">
      <alignment horizontal="left"/>
      <protection locked="0"/>
    </xf>
    <xf numFmtId="168" fontId="19" fillId="0" borderId="6" xfId="0" applyNumberFormat="1" applyFont="1" applyBorder="1" applyAlignment="1">
      <alignment horizontal="center"/>
    </xf>
    <xf numFmtId="0" fontId="0" fillId="5" borderId="0" xfId="0" applyFill="1" applyAlignment="1" applyProtection="1">
      <alignment horizontal="left" vertical="top" wrapText="1"/>
      <protection locked="0"/>
    </xf>
    <xf numFmtId="49" fontId="0" fillId="5" borderId="6" xfId="0" applyNumberFormat="1" applyFill="1" applyBorder="1" applyAlignment="1" applyProtection="1">
      <alignment horizontal="center"/>
      <protection locked="0"/>
    </xf>
    <xf numFmtId="0" fontId="19" fillId="0" borderId="4" xfId="0" applyFont="1" applyBorder="1" applyAlignment="1" applyProtection="1">
      <alignment horizontal="left"/>
      <protection locked="0"/>
    </xf>
    <xf numFmtId="0" fontId="28" fillId="0" borderId="4" xfId="0" applyFont="1" applyBorder="1" applyAlignment="1" applyProtection="1">
      <alignment horizontal="left"/>
      <protection locked="0"/>
    </xf>
    <xf numFmtId="0" fontId="19" fillId="43" borderId="6" xfId="0" applyFont="1" applyFill="1" applyBorder="1" applyAlignment="1" applyProtection="1">
      <alignment vertical="center"/>
      <protection locked="0"/>
    </xf>
    <xf numFmtId="0" fontId="28" fillId="43" borderId="6" xfId="0" applyFont="1" applyFill="1" applyBorder="1" applyAlignment="1" applyProtection="1">
      <alignment horizontal="left"/>
      <protection locked="0"/>
    </xf>
    <xf numFmtId="0" fontId="19" fillId="0" borderId="6" xfId="0" applyFont="1" applyBorder="1" applyAlignment="1">
      <alignment horizontal="left"/>
    </xf>
    <xf numFmtId="0" fontId="28" fillId="5" borderId="0" xfId="0" applyFont="1" applyFill="1" applyAlignment="1" applyProtection="1">
      <alignment horizontal="left" vertical="top" wrapText="1"/>
      <protection locked="0"/>
    </xf>
    <xf numFmtId="0" fontId="28" fillId="5" borderId="6" xfId="0" applyFont="1" applyFill="1" applyBorder="1" applyAlignment="1" applyProtection="1">
      <alignment horizontal="left" vertical="top" wrapText="1"/>
      <protection locked="0"/>
    </xf>
    <xf numFmtId="0" fontId="19" fillId="43" borderId="4" xfId="0" applyFont="1" applyFill="1" applyBorder="1" applyAlignment="1" applyProtection="1">
      <alignment horizontal="left" wrapText="1"/>
      <protection locked="0"/>
    </xf>
    <xf numFmtId="10" fontId="28" fillId="0" borderId="11" xfId="0" applyNumberFormat="1" applyFont="1" applyBorder="1" applyAlignment="1">
      <alignment horizontal="center"/>
    </xf>
    <xf numFmtId="0" fontId="0" fillId="0" borderId="5" xfId="0" applyBorder="1" applyAlignment="1">
      <alignment horizontal="left"/>
    </xf>
    <xf numFmtId="0" fontId="0" fillId="0" borderId="6" xfId="0" applyBorder="1" applyAlignment="1" applyProtection="1">
      <alignment horizontal="center"/>
      <protection locked="0"/>
    </xf>
    <xf numFmtId="0" fontId="38" fillId="5" borderId="6" xfId="0" applyFont="1" applyFill="1" applyBorder="1" applyAlignment="1" applyProtection="1">
      <alignment horizontal="left"/>
      <protection locked="0"/>
    </xf>
    <xf numFmtId="0" fontId="28" fillId="5" borderId="4" xfId="0" applyFont="1" applyFill="1" applyBorder="1" applyAlignment="1" applyProtection="1">
      <alignment horizontal="right"/>
      <protection locked="0"/>
    </xf>
    <xf numFmtId="168" fontId="28" fillId="5" borderId="4" xfId="0" applyNumberFormat="1" applyFont="1" applyFill="1" applyBorder="1" applyAlignment="1" applyProtection="1">
      <alignment horizontal="right"/>
      <protection locked="0"/>
    </xf>
    <xf numFmtId="1" fontId="28" fillId="5" borderId="6" xfId="0" applyNumberFormat="1" applyFont="1" applyFill="1" applyBorder="1" applyAlignment="1" applyProtection="1">
      <alignment horizontal="right"/>
      <protection locked="0"/>
    </xf>
    <xf numFmtId="178" fontId="28" fillId="5" borderId="4"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8" fillId="5" borderId="11" xfId="0" quotePrefix="1" applyNumberFormat="1" applyFont="1" applyFill="1" applyBorder="1" applyAlignment="1" applyProtection="1">
      <alignment horizontal="center"/>
      <protection locked="0"/>
    </xf>
    <xf numFmtId="0" fontId="0" fillId="5" borderId="4" xfId="0" applyFill="1" applyBorder="1" applyAlignment="1" applyProtection="1">
      <alignment horizontal="right"/>
      <protection locked="0"/>
    </xf>
    <xf numFmtId="172" fontId="0" fillId="5" borderId="6" xfId="0" applyNumberFormat="1" applyFill="1" applyBorder="1" applyAlignment="1" applyProtection="1">
      <alignment horizontal="center"/>
      <protection locked="0"/>
    </xf>
    <xf numFmtId="168" fontId="19" fillId="0" borderId="3" xfId="0" applyNumberFormat="1" applyFont="1" applyBorder="1" applyAlignment="1">
      <alignment horizontal="left" vertical="top"/>
    </xf>
    <xf numFmtId="168" fontId="0" fillId="43" borderId="6" xfId="0" applyNumberFormat="1" applyFill="1" applyBorder="1" applyAlignment="1" applyProtection="1">
      <alignment horizontal="right"/>
      <protection locked="0"/>
    </xf>
    <xf numFmtId="0" fontId="26" fillId="0" borderId="9" xfId="0" applyFont="1" applyBorder="1" applyAlignment="1">
      <alignment horizontal="center"/>
    </xf>
    <xf numFmtId="3" fontId="28" fillId="0" borderId="11" xfId="0" applyNumberFormat="1" applyFont="1" applyBorder="1" applyAlignment="1">
      <alignment horizontal="center"/>
    </xf>
    <xf numFmtId="165" fontId="28" fillId="5" borderId="3" xfId="0" applyNumberFormat="1" applyFont="1" applyFill="1" applyBorder="1" applyAlignment="1" applyProtection="1">
      <alignment horizontal="center"/>
      <protection locked="0"/>
    </xf>
    <xf numFmtId="165" fontId="28" fillId="5" borderId="4" xfId="0" applyNumberFormat="1" applyFont="1" applyFill="1" applyBorder="1" applyAlignment="1" applyProtection="1">
      <alignment horizontal="center"/>
      <protection locked="0"/>
    </xf>
    <xf numFmtId="165" fontId="2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26" fillId="0" borderId="10" xfId="0"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0" fillId="43" borderId="10" xfId="0" applyFill="1" applyBorder="1" applyAlignment="1" applyProtection="1">
      <alignment horizontal="left"/>
      <protection locked="0"/>
    </xf>
    <xf numFmtId="168" fontId="19" fillId="0" borderId="4" xfId="0" applyNumberFormat="1" applyFont="1" applyBorder="1" applyAlignment="1">
      <alignment horizontal="left" vertical="top"/>
    </xf>
    <xf numFmtId="168" fontId="19" fillId="0" borderId="5" xfId="0" applyNumberFormat="1" applyFont="1" applyBorder="1" applyAlignment="1">
      <alignment horizontal="left" vertical="top"/>
    </xf>
    <xf numFmtId="168" fontId="184" fillId="0" borderId="105" xfId="543" applyNumberFormat="1" applyFont="1" applyBorder="1" applyAlignment="1">
      <alignment horizontal="right" vertical="center" wrapText="1"/>
    </xf>
    <xf numFmtId="175" fontId="184" fillId="0" borderId="107" xfId="543" applyNumberFormat="1" applyFont="1" applyBorder="1" applyAlignment="1">
      <alignment horizontal="center" vertical="center" wrapText="1"/>
    </xf>
    <xf numFmtId="175" fontId="184" fillId="0" borderId="108" xfId="543" applyNumberFormat="1" applyFont="1" applyBorder="1" applyAlignment="1">
      <alignment horizontal="center" vertical="center" wrapText="1"/>
    </xf>
    <xf numFmtId="175" fontId="184" fillId="0" borderId="109" xfId="543" applyNumberFormat="1" applyFont="1" applyBorder="1" applyAlignment="1">
      <alignment horizontal="center" vertical="center" wrapText="1"/>
    </xf>
    <xf numFmtId="0" fontId="183"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60" fillId="2" borderId="3" xfId="0" applyFont="1" applyFill="1" applyBorder="1" applyAlignment="1">
      <alignment horizontal="center" vertical="top"/>
    </xf>
    <xf numFmtId="0" fontId="60" fillId="2" borderId="4" xfId="0" applyFont="1" applyFill="1" applyBorder="1" applyAlignment="1">
      <alignment horizontal="center" vertical="top"/>
    </xf>
    <xf numFmtId="0" fontId="60" fillId="2" borderId="5" xfId="0" applyFont="1" applyFill="1" applyBorder="1" applyAlignment="1">
      <alignment horizontal="center" vertical="top"/>
    </xf>
    <xf numFmtId="0" fontId="28" fillId="0" borderId="6" xfId="0" applyFont="1" applyBorder="1" applyAlignment="1">
      <alignment vertical="top" wrapText="1"/>
    </xf>
    <xf numFmtId="177" fontId="28" fillId="5" borderId="6" xfId="0" applyNumberFormat="1" applyFont="1" applyFill="1" applyBorder="1" applyAlignment="1" applyProtection="1">
      <alignment horizontal="left" vertical="top" wrapText="1"/>
      <protection locked="0"/>
    </xf>
    <xf numFmtId="0" fontId="28" fillId="0" borderId="2" xfId="0" applyFont="1" applyBorder="1" applyAlignment="1">
      <alignment vertical="top" wrapText="1"/>
    </xf>
    <xf numFmtId="0" fontId="55" fillId="0" borderId="0" xfId="0" applyFont="1" applyAlignment="1">
      <alignment vertical="top" wrapText="1"/>
    </xf>
    <xf numFmtId="0" fontId="28" fillId="0" borderId="2" xfId="0" applyFont="1" applyBorder="1" applyAlignment="1">
      <alignment horizontal="left" vertical="top" wrapText="1"/>
    </xf>
    <xf numFmtId="0" fontId="56" fillId="0" borderId="0" xfId="0" applyFont="1" applyAlignment="1">
      <alignment vertical="top" wrapText="1"/>
    </xf>
    <xf numFmtId="0" fontId="28" fillId="0" borderId="0" xfId="0" applyFont="1" applyAlignment="1">
      <alignment vertical="top" wrapText="1"/>
    </xf>
    <xf numFmtId="0" fontId="28" fillId="0" borderId="6" xfId="0" applyFont="1" applyBorder="1" applyAlignment="1">
      <alignment horizontal="right" vertical="top" wrapText="1"/>
    </xf>
    <xf numFmtId="0" fontId="56" fillId="0" borderId="0" xfId="569" applyFont="1" applyAlignment="1">
      <alignment vertical="top" wrapText="1"/>
    </xf>
    <xf numFmtId="0" fontId="19" fillId="0" borderId="0" xfId="569" applyAlignment="1">
      <alignment horizontal="right" vertical="top" wrapText="1"/>
    </xf>
    <xf numFmtId="0" fontId="25" fillId="3" borderId="3" xfId="0" applyFont="1" applyFill="1" applyBorder="1" applyAlignment="1">
      <alignment horizontal="left" vertical="top"/>
    </xf>
    <xf numFmtId="0" fontId="25" fillId="3" borderId="4" xfId="0" applyFont="1" applyFill="1" applyBorder="1" applyAlignment="1">
      <alignment horizontal="left" vertical="top"/>
    </xf>
    <xf numFmtId="0" fontId="25" fillId="3" borderId="5" xfId="0" applyFont="1" applyFill="1" applyBorder="1" applyAlignment="1">
      <alignment horizontal="left" vertical="top"/>
    </xf>
    <xf numFmtId="0" fontId="3" fillId="45" borderId="3" xfId="8736" applyFill="1" applyBorder="1" applyAlignment="1">
      <alignment horizontal="center"/>
    </xf>
    <xf numFmtId="0" fontId="3" fillId="45" borderId="4" xfId="8736" applyFill="1" applyBorder="1" applyAlignment="1">
      <alignment horizontal="center"/>
    </xf>
    <xf numFmtId="0" fontId="3" fillId="45" borderId="5" xfId="8736" applyFill="1" applyBorder="1" applyAlignment="1">
      <alignment horizontal="center"/>
    </xf>
    <xf numFmtId="0" fontId="169" fillId="44" borderId="80" xfId="8736" applyFont="1" applyFill="1" applyBorder="1" applyAlignment="1">
      <alignment horizontal="left"/>
    </xf>
    <xf numFmtId="0" fontId="169" fillId="44" borderId="79" xfId="8736" applyFont="1" applyFill="1" applyBorder="1" applyAlignment="1">
      <alignment horizontal="left"/>
    </xf>
    <xf numFmtId="0" fontId="169" fillId="44" borderId="78" xfId="8736" applyFont="1" applyFill="1" applyBorder="1" applyAlignment="1">
      <alignment horizontal="left"/>
    </xf>
    <xf numFmtId="0" fontId="170" fillId="45" borderId="11" xfId="8736" applyFont="1" applyFill="1" applyBorder="1" applyAlignment="1">
      <alignment horizontal="right"/>
    </xf>
    <xf numFmtId="1" fontId="169" fillId="48" borderId="11" xfId="8736" applyNumberFormat="1" applyFont="1" applyFill="1" applyBorder="1" applyAlignment="1" applyProtection="1">
      <alignment horizontal="center"/>
      <protection locked="0"/>
    </xf>
    <xf numFmtId="0" fontId="181" fillId="51" borderId="65" xfId="8736" applyFont="1" applyFill="1" applyBorder="1" applyAlignment="1">
      <alignment horizontal="center"/>
    </xf>
    <xf numFmtId="0" fontId="181" fillId="51" borderId="29" xfId="8736" applyFont="1" applyFill="1" applyBorder="1" applyAlignment="1">
      <alignment horizontal="center"/>
    </xf>
    <xf numFmtId="0" fontId="181" fillId="51" borderId="31" xfId="8736" applyFont="1" applyFill="1" applyBorder="1" applyAlignment="1">
      <alignment horizontal="center"/>
    </xf>
    <xf numFmtId="0" fontId="166" fillId="48" borderId="66" xfId="8736" applyFont="1" applyFill="1" applyBorder="1" applyAlignment="1">
      <alignment horizontal="center"/>
    </xf>
    <xf numFmtId="0" fontId="166" fillId="48" borderId="0" xfId="8736" applyFont="1" applyFill="1" applyAlignment="1">
      <alignment horizontal="center"/>
    </xf>
    <xf numFmtId="0" fontId="166" fillId="48" borderId="41" xfId="8736" applyFont="1" applyFill="1" applyBorder="1" applyAlignment="1">
      <alignment horizontal="center"/>
    </xf>
    <xf numFmtId="0" fontId="166" fillId="45" borderId="3" xfId="8736" applyFont="1" applyFill="1" applyBorder="1" applyAlignment="1">
      <alignment horizontal="center"/>
    </xf>
    <xf numFmtId="0" fontId="166" fillId="45" borderId="4" xfId="8736" applyFont="1" applyFill="1" applyBorder="1" applyAlignment="1">
      <alignment horizontal="center"/>
    </xf>
    <xf numFmtId="0" fontId="166" fillId="45" borderId="5" xfId="8736" applyFont="1" applyFill="1" applyBorder="1" applyAlignment="1">
      <alignment horizontal="center"/>
    </xf>
    <xf numFmtId="0" fontId="176" fillId="45" borderId="11" xfId="8736" applyFont="1" applyFill="1" applyBorder="1" applyAlignment="1">
      <alignment horizontal="right"/>
    </xf>
    <xf numFmtId="14" fontId="169" fillId="48" borderId="11" xfId="8736" applyNumberFormat="1" applyFont="1" applyFill="1" applyBorder="1" applyAlignment="1" applyProtection="1">
      <alignment horizontal="center"/>
      <protection locked="0"/>
    </xf>
    <xf numFmtId="0" fontId="169" fillId="48" borderId="11" xfId="8736" applyFont="1" applyFill="1" applyBorder="1" applyAlignment="1" applyProtection="1">
      <alignment horizontal="center"/>
      <protection locked="0"/>
    </xf>
    <xf numFmtId="0" fontId="3" fillId="44" borderId="80" xfId="8736" applyFill="1" applyBorder="1" applyAlignment="1">
      <alignment horizontal="center"/>
    </xf>
    <xf numFmtId="0" fontId="3" fillId="44" borderId="79" xfId="8736" applyFill="1" applyBorder="1" applyAlignment="1">
      <alignment horizontal="center"/>
    </xf>
    <xf numFmtId="0" fontId="3" fillId="44" borderId="78" xfId="8736" applyFill="1" applyBorder="1" applyAlignment="1">
      <alignment horizontal="center"/>
    </xf>
    <xf numFmtId="0" fontId="103" fillId="45" borderId="80" xfId="8736" applyFont="1" applyFill="1" applyBorder="1" applyAlignment="1">
      <alignment horizontal="center"/>
    </xf>
    <xf numFmtId="0" fontId="103" fillId="45" borderId="79" xfId="8736" applyFont="1" applyFill="1" applyBorder="1" applyAlignment="1">
      <alignment horizontal="center"/>
    </xf>
    <xf numFmtId="0" fontId="103" fillId="45" borderId="78" xfId="8736" applyFont="1" applyFill="1" applyBorder="1" applyAlignment="1">
      <alignment horizontal="center"/>
    </xf>
    <xf numFmtId="0" fontId="169" fillId="48" borderId="80" xfId="8736" applyFont="1" applyFill="1" applyBorder="1" applyAlignment="1" applyProtection="1">
      <alignment horizontal="center"/>
      <protection locked="0"/>
    </xf>
    <xf numFmtId="0" fontId="169" fillId="48" borderId="79" xfId="8736" applyFont="1" applyFill="1" applyBorder="1" applyAlignment="1" applyProtection="1">
      <alignment horizontal="center"/>
      <protection locked="0"/>
    </xf>
    <xf numFmtId="0" fontId="169" fillId="48" borderId="78" xfId="8736" applyFont="1" applyFill="1" applyBorder="1" applyAlignment="1" applyProtection="1">
      <alignment horizontal="center"/>
      <protection locked="0"/>
    </xf>
    <xf numFmtId="0" fontId="173" fillId="45" borderId="11" xfId="8736" applyFont="1" applyFill="1" applyBorder="1" applyAlignment="1">
      <alignment horizontal="right"/>
    </xf>
    <xf numFmtId="1" fontId="3" fillId="44" borderId="11" xfId="8736" applyNumberFormat="1" applyFill="1" applyBorder="1" applyAlignment="1">
      <alignment horizontal="center"/>
    </xf>
    <xf numFmtId="0" fontId="3" fillId="44" borderId="11" xfId="8736" applyFill="1" applyBorder="1" applyAlignment="1">
      <alignment horizontal="center"/>
    </xf>
    <xf numFmtId="0" fontId="170" fillId="45" borderId="11" xfId="8736" applyFont="1" applyFill="1" applyBorder="1" applyAlignment="1">
      <alignment horizontal="right" wrapText="1"/>
    </xf>
    <xf numFmtId="14" fontId="169" fillId="48" borderId="11" xfId="8736" applyNumberFormat="1" applyFont="1" applyFill="1" applyBorder="1" applyAlignment="1" applyProtection="1">
      <alignment horizontal="center" vertical="center"/>
      <protection locked="0"/>
    </xf>
    <xf numFmtId="0" fontId="169" fillId="48" borderId="11" xfId="8736" applyFont="1" applyFill="1" applyBorder="1" applyAlignment="1" applyProtection="1">
      <alignment horizontal="center" vertical="center"/>
      <protection locked="0"/>
    </xf>
    <xf numFmtId="168" fontId="174" fillId="44" borderId="11" xfId="8737" applyNumberFormat="1" applyFont="1" applyFill="1" applyBorder="1" applyAlignment="1" applyProtection="1">
      <alignment horizontal="left"/>
    </xf>
    <xf numFmtId="0" fontId="103" fillId="45" borderId="80" xfId="8736" applyFont="1" applyFill="1" applyBorder="1" applyAlignment="1">
      <alignment horizontal="right"/>
    </xf>
    <xf numFmtId="0" fontId="103" fillId="45" borderId="79" xfId="8736" applyFont="1" applyFill="1" applyBorder="1" applyAlignment="1">
      <alignment horizontal="right"/>
    </xf>
    <xf numFmtId="0" fontId="103" fillId="45" borderId="103" xfId="8736" applyFont="1" applyFill="1" applyBorder="1" applyAlignment="1">
      <alignment horizontal="right"/>
    </xf>
    <xf numFmtId="0" fontId="3" fillId="44" borderId="84" xfId="8736" applyFill="1" applyBorder="1" applyAlignment="1">
      <alignment horizontal="center"/>
    </xf>
    <xf numFmtId="0" fontId="3" fillId="44" borderId="102" xfId="8736" applyFill="1" applyBorder="1" applyAlignment="1">
      <alignment horizontal="center"/>
    </xf>
    <xf numFmtId="0" fontId="166" fillId="45" borderId="93" xfId="8736" applyFont="1" applyFill="1" applyBorder="1" applyAlignment="1">
      <alignment horizontal="center"/>
    </xf>
    <xf numFmtId="0" fontId="166" fillId="45" borderId="92" xfId="8736" applyFont="1" applyFill="1" applyBorder="1" applyAlignment="1">
      <alignment horizontal="center"/>
    </xf>
    <xf numFmtId="0" fontId="166" fillId="45" borderId="91" xfId="8736" applyFont="1" applyFill="1" applyBorder="1" applyAlignment="1">
      <alignment horizontal="center"/>
    </xf>
    <xf numFmtId="0" fontId="173" fillId="45" borderId="97" xfId="8736" applyFont="1" applyFill="1" applyBorder="1" applyAlignment="1">
      <alignment horizontal="center"/>
    </xf>
    <xf numFmtId="0" fontId="173" fillId="45" borderId="2" xfId="8736" applyFont="1" applyFill="1" applyBorder="1" applyAlignment="1">
      <alignment horizontal="center"/>
    </xf>
    <xf numFmtId="0" fontId="173" fillId="45" borderId="7" xfId="8736" applyFont="1" applyFill="1" applyBorder="1" applyAlignment="1">
      <alignment horizontal="center"/>
    </xf>
    <xf numFmtId="0" fontId="173" fillId="45" borderId="3" xfId="8736" applyFont="1" applyFill="1" applyBorder="1" applyAlignment="1">
      <alignment horizontal="center"/>
    </xf>
    <xf numFmtId="0" fontId="173" fillId="45" borderId="4" xfId="8736" applyFont="1" applyFill="1" applyBorder="1" applyAlignment="1">
      <alignment horizontal="center"/>
    </xf>
    <xf numFmtId="0" fontId="173" fillId="45" borderId="5" xfId="8736" applyFont="1" applyFill="1" applyBorder="1" applyAlignment="1">
      <alignment horizontal="center"/>
    </xf>
    <xf numFmtId="0" fontId="173" fillId="45" borderId="81" xfId="8736" applyFont="1" applyFill="1" applyBorder="1" applyAlignment="1">
      <alignment horizontal="center"/>
    </xf>
    <xf numFmtId="9" fontId="172" fillId="48" borderId="90" xfId="8736" applyNumberFormat="1" applyFont="1" applyFill="1" applyBorder="1" applyAlignment="1" applyProtection="1">
      <alignment horizontal="center"/>
      <protection locked="0"/>
    </xf>
    <xf numFmtId="9" fontId="172" fillId="48" borderId="4" xfId="8736" applyNumberFormat="1" applyFont="1" applyFill="1" applyBorder="1" applyAlignment="1" applyProtection="1">
      <alignment horizontal="center"/>
      <protection locked="0"/>
    </xf>
    <xf numFmtId="9" fontId="172" fillId="48" borderId="5" xfId="8736" applyNumberFormat="1" applyFont="1" applyFill="1" applyBorder="1" applyAlignment="1" applyProtection="1">
      <alignment horizontal="center"/>
      <protection locked="0"/>
    </xf>
    <xf numFmtId="0" fontId="172" fillId="44" borderId="3" xfId="8736" applyFont="1" applyFill="1" applyBorder="1" applyAlignment="1">
      <alignment horizontal="center"/>
    </xf>
    <xf numFmtId="0" fontId="172" fillId="44" borderId="4" xfId="8736" applyFont="1" applyFill="1" applyBorder="1" applyAlignment="1">
      <alignment horizontal="center"/>
    </xf>
    <xf numFmtId="0" fontId="172" fillId="44" borderId="5" xfId="8736" applyFont="1" applyFill="1" applyBorder="1" applyAlignment="1">
      <alignment horizontal="center"/>
    </xf>
    <xf numFmtId="10" fontId="173" fillId="44" borderId="3" xfId="8736" applyNumberFormat="1" applyFont="1" applyFill="1" applyBorder="1" applyAlignment="1">
      <alignment horizontal="center"/>
    </xf>
    <xf numFmtId="10" fontId="173" fillId="44" borderId="4" xfId="8736" applyNumberFormat="1" applyFont="1" applyFill="1" applyBorder="1" applyAlignment="1">
      <alignment horizontal="center"/>
    </xf>
    <xf numFmtId="10" fontId="173" fillId="44" borderId="81" xfId="8736" applyNumberFormat="1" applyFont="1" applyFill="1" applyBorder="1" applyAlignment="1">
      <alignment horizontal="center"/>
    </xf>
    <xf numFmtId="0" fontId="172" fillId="48" borderId="3" xfId="8736" applyFont="1" applyFill="1" applyBorder="1" applyAlignment="1" applyProtection="1">
      <alignment horizontal="center"/>
      <protection locked="0"/>
    </xf>
    <xf numFmtId="0" fontId="172" fillId="48" borderId="4" xfId="8736" applyFont="1" applyFill="1" applyBorder="1" applyAlignment="1" applyProtection="1">
      <alignment horizontal="center"/>
      <protection locked="0"/>
    </xf>
    <xf numFmtId="0" fontId="172" fillId="48" borderId="5" xfId="8736" applyFont="1" applyFill="1" applyBorder="1" applyAlignment="1" applyProtection="1">
      <alignment horizontal="center"/>
      <protection locked="0"/>
    </xf>
    <xf numFmtId="0" fontId="173" fillId="44" borderId="87" xfId="8736" applyFont="1" applyFill="1" applyBorder="1" applyAlignment="1">
      <alignment horizontal="center"/>
    </xf>
    <xf numFmtId="0" fontId="173" fillId="44" borderId="86" xfId="8736" applyFont="1" applyFill="1" applyBorder="1" applyAlignment="1">
      <alignment horizontal="center"/>
    </xf>
    <xf numFmtId="0" fontId="173" fillId="44" borderId="95" xfId="8736" applyFont="1" applyFill="1" applyBorder="1" applyAlignment="1">
      <alignment horizontal="center"/>
    </xf>
    <xf numFmtId="0" fontId="172" fillId="44" borderId="94"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10" fontId="173" fillId="44" borderId="94" xfId="8736" applyNumberFormat="1" applyFont="1" applyFill="1" applyBorder="1" applyAlignment="1">
      <alignment horizontal="center"/>
    </xf>
    <xf numFmtId="10" fontId="173" fillId="44" borderId="86" xfId="8736" applyNumberFormat="1" applyFont="1" applyFill="1" applyBorder="1" applyAlignment="1">
      <alignment horizontal="center"/>
    </xf>
    <xf numFmtId="10" fontId="173" fillId="44" borderId="85" xfId="8736" applyNumberFormat="1" applyFont="1" applyFill="1" applyBorder="1" applyAlignment="1">
      <alignment horizontal="center"/>
    </xf>
    <xf numFmtId="0" fontId="173" fillId="44" borderId="101" xfId="8736" applyFont="1" applyFill="1" applyBorder="1" applyAlignment="1">
      <alignment horizontal="center"/>
    </xf>
    <xf numFmtId="0" fontId="173" fillId="44" borderId="42" xfId="8736" applyFont="1" applyFill="1" applyBorder="1" applyAlignment="1">
      <alignment horizontal="center"/>
    </xf>
    <xf numFmtId="0" fontId="173" fillId="44" borderId="96" xfId="8736" applyFont="1" applyFill="1" applyBorder="1" applyAlignment="1">
      <alignment horizontal="center"/>
    </xf>
    <xf numFmtId="9" fontId="173" fillId="44" borderId="101" xfId="1022" applyFont="1" applyFill="1" applyBorder="1" applyAlignment="1">
      <alignment horizontal="center"/>
    </xf>
    <xf numFmtId="9" fontId="173" fillId="44" borderId="42" xfId="1022" applyFont="1" applyFill="1" applyBorder="1" applyAlignment="1">
      <alignment horizontal="center"/>
    </xf>
    <xf numFmtId="9" fontId="173" fillId="44" borderId="44" xfId="1022" applyFont="1" applyFill="1" applyBorder="1" applyAlignment="1">
      <alignment horizontal="center"/>
    </xf>
    <xf numFmtId="0" fontId="166" fillId="45" borderId="80" xfId="8736" applyFont="1" applyFill="1" applyBorder="1" applyAlignment="1">
      <alignment horizontal="center"/>
    </xf>
    <xf numFmtId="0" fontId="166" fillId="45" borderId="79" xfId="8736" applyFont="1" applyFill="1" applyBorder="1" applyAlignment="1">
      <alignment horizontal="center"/>
    </xf>
    <xf numFmtId="0" fontId="166" fillId="45" borderId="78" xfId="8736" applyFont="1" applyFill="1" applyBorder="1" applyAlignment="1">
      <alignment horizontal="center"/>
    </xf>
    <xf numFmtId="0" fontId="165" fillId="45" borderId="98" xfId="8736" applyFont="1" applyFill="1" applyBorder="1" applyAlignment="1">
      <alignment horizontal="center" vertical="center" wrapText="1"/>
    </xf>
    <xf numFmtId="0" fontId="165" fillId="45" borderId="13" xfId="8736" applyFont="1" applyFill="1" applyBorder="1" applyAlignment="1">
      <alignment horizontal="center" vertical="center"/>
    </xf>
    <xf numFmtId="0" fontId="165" fillId="45" borderId="72" xfId="8736" applyFont="1" applyFill="1" applyBorder="1" applyAlignment="1">
      <alignment horizontal="center" vertical="center"/>
    </xf>
    <xf numFmtId="0" fontId="165" fillId="45" borderId="11" xfId="8736" applyFont="1" applyFill="1" applyBorder="1" applyAlignment="1">
      <alignment horizontal="center" vertical="center"/>
    </xf>
    <xf numFmtId="0" fontId="173" fillId="45" borderId="13" xfId="8736" applyFont="1" applyFill="1" applyBorder="1" applyAlignment="1">
      <alignment horizontal="center" vertical="center" wrapText="1"/>
    </xf>
    <xf numFmtId="0" fontId="173" fillId="45" borderId="13" xfId="8736" applyFont="1" applyFill="1" applyBorder="1" applyAlignment="1">
      <alignment horizontal="center" vertical="center"/>
    </xf>
    <xf numFmtId="0" fontId="173" fillId="45" borderId="11" xfId="8736" applyFont="1" applyFill="1" applyBorder="1" applyAlignment="1">
      <alignment horizontal="center" vertical="center"/>
    </xf>
    <xf numFmtId="0" fontId="173" fillId="45" borderId="9" xfId="8736" applyFont="1" applyFill="1" applyBorder="1" applyAlignment="1">
      <alignment horizontal="center" vertical="center"/>
    </xf>
    <xf numFmtId="0" fontId="173" fillId="45" borderId="3" xfId="8736" applyFont="1" applyFill="1" applyBorder="1" applyAlignment="1">
      <alignment horizontal="center" vertic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5" fillId="45" borderId="65" xfId="8736" applyFont="1" applyFill="1" applyBorder="1" applyAlignment="1">
      <alignment horizontal="center" vertical="center" wrapText="1"/>
    </xf>
    <xf numFmtId="0" fontId="165" fillId="45" borderId="29" xfId="8736" applyFont="1" applyFill="1" applyBorder="1" applyAlignment="1">
      <alignment horizontal="center" vertical="center" wrapText="1"/>
    </xf>
    <xf numFmtId="0" fontId="165" fillId="45" borderId="31" xfId="8736" applyFont="1" applyFill="1" applyBorder="1" applyAlignment="1">
      <alignment horizontal="center" vertical="center" wrapText="1"/>
    </xf>
    <xf numFmtId="0" fontId="165" fillId="45" borderId="73" xfId="8736" applyFont="1" applyFill="1" applyBorder="1" applyAlignment="1">
      <alignment horizontal="center" vertical="center" wrapText="1"/>
    </xf>
    <xf numFmtId="0" fontId="165" fillId="45" borderId="42" xfId="8736" applyFont="1" applyFill="1" applyBorder="1" applyAlignment="1">
      <alignment horizontal="center" vertical="center" wrapText="1"/>
    </xf>
    <xf numFmtId="0" fontId="165" fillId="45" borderId="44" xfId="8736" applyFont="1" applyFill="1" applyBorder="1" applyAlignment="1">
      <alignment horizontal="center" vertical="center" wrapText="1"/>
    </xf>
    <xf numFmtId="9" fontId="173" fillId="48" borderId="13" xfId="8736" applyNumberFormat="1" applyFont="1" applyFill="1" applyBorder="1" applyAlignment="1" applyProtection="1">
      <alignment horizontal="center"/>
      <protection locked="0"/>
    </xf>
    <xf numFmtId="0" fontId="173" fillId="44" borderId="73" xfId="8736" applyFont="1" applyFill="1" applyBorder="1" applyAlignment="1">
      <alignment horizontal="center"/>
    </xf>
    <xf numFmtId="0" fontId="165" fillId="44" borderId="9" xfId="8736" applyFont="1" applyFill="1" applyBorder="1" applyAlignment="1">
      <alignment horizontal="center"/>
    </xf>
    <xf numFmtId="0" fontId="165" fillId="44" borderId="6" xfId="8736" applyFont="1" applyFill="1" applyBorder="1" applyAlignment="1">
      <alignment horizontal="center"/>
    </xf>
    <xf numFmtId="0" fontId="165" fillId="44" borderId="82" xfId="8736" applyFont="1" applyFill="1" applyBorder="1" applyAlignment="1">
      <alignment horizontal="center"/>
    </xf>
    <xf numFmtId="9" fontId="173" fillId="48" borderId="9" xfId="8736" applyNumberFormat="1" applyFont="1" applyFill="1" applyBorder="1" applyAlignment="1" applyProtection="1">
      <alignment horizontal="center"/>
      <protection locked="0"/>
    </xf>
    <xf numFmtId="9" fontId="173" fillId="48" borderId="6" xfId="8736" applyNumberFormat="1" applyFont="1" applyFill="1" applyBorder="1" applyAlignment="1" applyProtection="1">
      <alignment horizontal="center"/>
      <protection locked="0"/>
    </xf>
    <xf numFmtId="9" fontId="173" fillId="48" borderId="10" xfId="8736" applyNumberFormat="1" applyFont="1" applyFill="1" applyBorder="1" applyAlignment="1" applyProtection="1">
      <alignment horizontal="center"/>
      <protection locked="0"/>
    </xf>
    <xf numFmtId="9" fontId="165" fillId="48" borderId="9" xfId="8736" applyNumberFormat="1" applyFont="1" applyFill="1" applyBorder="1" applyAlignment="1" applyProtection="1">
      <alignment horizontal="center"/>
      <protection locked="0"/>
    </xf>
    <xf numFmtId="9" fontId="165" fillId="48" borderId="6" xfId="8736" applyNumberFormat="1" applyFont="1" applyFill="1" applyBorder="1" applyAlignment="1" applyProtection="1">
      <alignment horizontal="center"/>
      <protection locked="0"/>
    </xf>
    <xf numFmtId="9" fontId="165" fillId="48" borderId="10" xfId="8736" applyNumberFormat="1" applyFont="1" applyFill="1" applyBorder="1" applyAlignment="1" applyProtection="1">
      <alignment horizontal="center"/>
      <protection locked="0"/>
    </xf>
    <xf numFmtId="0" fontId="165" fillId="44" borderId="10" xfId="8736" applyFont="1" applyFill="1" applyBorder="1" applyAlignment="1">
      <alignment horizontal="center"/>
    </xf>
    <xf numFmtId="1" fontId="177" fillId="48" borderId="3" xfId="8736" applyNumberFormat="1" applyFont="1" applyFill="1" applyBorder="1" applyAlignment="1" applyProtection="1">
      <alignment horizontal="center"/>
      <protection locked="0"/>
    </xf>
    <xf numFmtId="1" fontId="177" fillId="48" borderId="4" xfId="8736" applyNumberFormat="1" applyFont="1" applyFill="1" applyBorder="1" applyAlignment="1" applyProtection="1">
      <alignment horizontal="center"/>
      <protection locked="0"/>
    </xf>
    <xf numFmtId="1" fontId="177" fillId="48" borderId="5" xfId="8736" applyNumberFormat="1" applyFont="1" applyFill="1" applyBorder="1" applyAlignment="1" applyProtection="1">
      <alignment horizontal="center"/>
      <protection locked="0"/>
    </xf>
    <xf numFmtId="1" fontId="165" fillId="44" borderId="3" xfId="8736" applyNumberFormat="1" applyFont="1" applyFill="1" applyBorder="1" applyAlignment="1">
      <alignment horizontal="center"/>
    </xf>
    <xf numFmtId="1" fontId="165" fillId="44" borderId="4" xfId="8736" applyNumberFormat="1" applyFont="1" applyFill="1" applyBorder="1" applyAlignment="1">
      <alignment horizontal="center"/>
    </xf>
    <xf numFmtId="1" fontId="165" fillId="44" borderId="5" xfId="8736" applyNumberFormat="1" applyFont="1" applyFill="1" applyBorder="1" applyAlignment="1">
      <alignment horizontal="center"/>
    </xf>
    <xf numFmtId="9" fontId="165" fillId="44" borderId="3" xfId="8738" applyFont="1" applyFill="1" applyBorder="1" applyAlignment="1">
      <alignment horizontal="center"/>
    </xf>
    <xf numFmtId="9" fontId="165" fillId="44" borderId="4" xfId="8738" applyFont="1" applyFill="1" applyBorder="1" applyAlignment="1">
      <alignment horizontal="center"/>
    </xf>
    <xf numFmtId="9" fontId="165" fillId="44" borderId="81" xfId="8738" applyFont="1" applyFill="1" applyBorder="1" applyAlignment="1">
      <alignment horizontal="center"/>
    </xf>
    <xf numFmtId="0" fontId="174" fillId="48" borderId="72" xfId="8736" applyFont="1" applyFill="1" applyBorder="1" applyAlignment="1" applyProtection="1">
      <alignment horizontal="right"/>
      <protection locked="0"/>
    </xf>
    <xf numFmtId="0" fontId="174" fillId="48" borderId="11" xfId="8736" applyFont="1" applyFill="1" applyBorder="1" applyAlignment="1" applyProtection="1">
      <alignment horizontal="right"/>
      <protection locked="0"/>
    </xf>
    <xf numFmtId="0" fontId="177" fillId="48" borderId="11" xfId="8736" applyFont="1" applyFill="1" applyBorder="1" applyAlignment="1" applyProtection="1">
      <alignment horizontal="center"/>
      <protection locked="0"/>
    </xf>
    <xf numFmtId="1" fontId="177" fillId="48" borderId="11" xfId="8736" applyNumberFormat="1" applyFont="1" applyFill="1" applyBorder="1" applyAlignment="1" applyProtection="1">
      <alignment horizontal="center"/>
      <protection locked="0"/>
    </xf>
    <xf numFmtId="0" fontId="172" fillId="48" borderId="72" xfId="8736" applyFont="1" applyFill="1" applyBorder="1" applyAlignment="1" applyProtection="1">
      <alignment horizontal="right"/>
      <protection locked="0"/>
    </xf>
    <xf numFmtId="0" fontId="172" fillId="48" borderId="11" xfId="8736" applyFont="1" applyFill="1" applyBorder="1" applyAlignment="1" applyProtection="1">
      <alignment horizontal="right"/>
      <protection locked="0"/>
    </xf>
    <xf numFmtId="0" fontId="172" fillId="48" borderId="69" xfId="8736" applyFont="1" applyFill="1" applyBorder="1" applyAlignment="1" applyProtection="1">
      <alignment horizontal="right"/>
      <protection locked="0"/>
    </xf>
    <xf numFmtId="0" fontId="172" fillId="48" borderId="70" xfId="8736" applyFont="1" applyFill="1" applyBorder="1" applyAlignment="1" applyProtection="1">
      <alignment horizontal="right"/>
      <protection locked="0"/>
    </xf>
    <xf numFmtId="0" fontId="177" fillId="48" borderId="70" xfId="8736" applyFont="1" applyFill="1" applyBorder="1" applyAlignment="1" applyProtection="1">
      <alignment horizontal="center"/>
      <protection locked="0"/>
    </xf>
    <xf numFmtId="1" fontId="177" fillId="48" borderId="70" xfId="8736" applyNumberFormat="1" applyFont="1" applyFill="1" applyBorder="1" applyAlignment="1" applyProtection="1">
      <alignment horizontal="center"/>
      <protection locked="0"/>
    </xf>
    <xf numFmtId="9" fontId="165" fillId="44" borderId="94" xfId="8738" applyFont="1" applyFill="1" applyBorder="1" applyAlignment="1">
      <alignment horizontal="center"/>
    </xf>
    <xf numFmtId="9" fontId="165" fillId="44" borderId="86" xfId="8738" applyFont="1" applyFill="1" applyBorder="1" applyAlignment="1">
      <alignment horizontal="center"/>
    </xf>
    <xf numFmtId="9" fontId="165" fillId="44" borderId="85" xfId="8738" applyFont="1" applyFill="1" applyBorder="1" applyAlignment="1">
      <alignment horizontal="center"/>
    </xf>
    <xf numFmtId="1" fontId="177" fillId="48" borderId="94" xfId="8736" applyNumberFormat="1" applyFont="1" applyFill="1" applyBorder="1" applyAlignment="1" applyProtection="1">
      <alignment horizontal="center"/>
      <protection locked="0"/>
    </xf>
    <xf numFmtId="1" fontId="177" fillId="48" borderId="86" xfId="8736" applyNumberFormat="1" applyFont="1" applyFill="1" applyBorder="1" applyAlignment="1" applyProtection="1">
      <alignment horizontal="center"/>
      <protection locked="0"/>
    </xf>
    <xf numFmtId="1" fontId="177" fillId="48" borderId="95" xfId="8736" applyNumberFormat="1" applyFont="1" applyFill="1" applyBorder="1" applyAlignment="1" applyProtection="1">
      <alignment horizontal="center"/>
      <protection locked="0"/>
    </xf>
    <xf numFmtId="0" fontId="166" fillId="45" borderId="67" xfId="8736" applyFont="1" applyFill="1" applyBorder="1" applyAlignment="1">
      <alignment horizontal="center"/>
    </xf>
    <xf numFmtId="0" fontId="166" fillId="45" borderId="68" xfId="8736" applyFont="1" applyFill="1" applyBorder="1" applyAlignment="1">
      <alignment horizontal="center"/>
    </xf>
    <xf numFmtId="0" fontId="166" fillId="45" borderId="71" xfId="8736" applyFont="1" applyFill="1" applyBorder="1" applyAlignment="1">
      <alignment horizontal="center"/>
    </xf>
    <xf numFmtId="0" fontId="173" fillId="45" borderId="72" xfId="8736" applyFont="1" applyFill="1" applyBorder="1" applyAlignment="1">
      <alignment horizontal="center"/>
    </xf>
    <xf numFmtId="0" fontId="173" fillId="45" borderId="11" xfId="8736" applyFont="1" applyFill="1" applyBorder="1" applyAlignment="1">
      <alignment horizontal="center"/>
    </xf>
    <xf numFmtId="0" fontId="165" fillId="45" borderId="11" xfId="8736" applyFont="1" applyFill="1" applyBorder="1" applyAlignment="1">
      <alignment horizontal="center" vertical="center" wrapText="1"/>
    </xf>
    <xf numFmtId="0" fontId="165" fillId="45" borderId="76" xfId="8736" applyFont="1" applyFill="1" applyBorder="1" applyAlignment="1">
      <alignment horizontal="center" vertical="center" wrapText="1"/>
    </xf>
    <xf numFmtId="0" fontId="172" fillId="48" borderId="11" xfId="8736" applyFont="1" applyFill="1" applyBorder="1" applyAlignment="1" applyProtection="1">
      <alignment horizontal="center"/>
      <protection locked="0"/>
    </xf>
    <xf numFmtId="168" fontId="172" fillId="48" borderId="11" xfId="8737" applyNumberFormat="1" applyFont="1" applyFill="1" applyBorder="1" applyAlignment="1" applyProtection="1">
      <alignment horizontal="center"/>
      <protection locked="0"/>
    </xf>
    <xf numFmtId="1" fontId="172" fillId="48" borderId="11" xfId="8736" applyNumberFormat="1" applyFont="1" applyFill="1" applyBorder="1" applyAlignment="1" applyProtection="1">
      <alignment horizontal="center"/>
      <protection locked="0"/>
    </xf>
    <xf numFmtId="0" fontId="172" fillId="48" borderId="11" xfId="700" applyNumberFormat="1" applyFont="1" applyFill="1" applyBorder="1" applyAlignment="1" applyProtection="1">
      <alignment horizontal="left"/>
      <protection locked="0"/>
    </xf>
    <xf numFmtId="0" fontId="172" fillId="48" borderId="76" xfId="700" applyNumberFormat="1" applyFont="1" applyFill="1" applyBorder="1" applyAlignment="1" applyProtection="1">
      <alignment horizontal="left"/>
      <protection locked="0"/>
    </xf>
    <xf numFmtId="0" fontId="166" fillId="45" borderId="65" xfId="8736" applyFont="1" applyFill="1" applyBorder="1" applyAlignment="1">
      <alignment horizontal="center"/>
    </xf>
    <xf numFmtId="0" fontId="166" fillId="45" borderId="29" xfId="8736" applyFont="1" applyFill="1" applyBorder="1" applyAlignment="1">
      <alignment horizontal="center"/>
    </xf>
    <xf numFmtId="0" fontId="166" fillId="45" borderId="31" xfId="8736" applyFont="1" applyFill="1" applyBorder="1" applyAlignment="1">
      <alignment horizontal="center"/>
    </xf>
    <xf numFmtId="0" fontId="172" fillId="44" borderId="72" xfId="8736" applyFont="1" applyFill="1" applyBorder="1" applyAlignment="1" applyProtection="1">
      <alignment horizontal="right"/>
      <protection locked="0"/>
    </xf>
    <xf numFmtId="0" fontId="172" fillId="44" borderId="11" xfId="8736" applyFont="1" applyFill="1" applyBorder="1" applyAlignment="1" applyProtection="1">
      <alignment horizontal="right"/>
      <protection locked="0"/>
    </xf>
    <xf numFmtId="0" fontId="172" fillId="44" borderId="76" xfId="8736" applyFont="1" applyFill="1" applyBorder="1" applyAlignment="1" applyProtection="1">
      <alignment horizontal="right"/>
      <protection locked="0"/>
    </xf>
    <xf numFmtId="0" fontId="172" fillId="48" borderId="5" xfId="8736" applyFont="1" applyFill="1" applyBorder="1" applyAlignment="1" applyProtection="1">
      <alignment horizontal="left"/>
      <protection locked="0"/>
    </xf>
    <xf numFmtId="0" fontId="172" fillId="48" borderId="11" xfId="8736" applyFont="1" applyFill="1" applyBorder="1" applyAlignment="1" applyProtection="1">
      <alignment horizontal="left"/>
      <protection locked="0"/>
    </xf>
    <xf numFmtId="0" fontId="172" fillId="48" borderId="76" xfId="8736" applyFont="1" applyFill="1" applyBorder="1" applyAlignment="1" applyProtection="1">
      <alignment horizontal="left"/>
      <protection locked="0"/>
    </xf>
    <xf numFmtId="0" fontId="173" fillId="45" borderId="69" xfId="8736" applyFont="1" applyFill="1" applyBorder="1" applyAlignment="1">
      <alignment horizontal="center"/>
    </xf>
    <xf numFmtId="0" fontId="173" fillId="45" borderId="70" xfId="8736" applyFont="1" applyFill="1" applyBorder="1" applyAlignment="1">
      <alignment horizontal="center"/>
    </xf>
    <xf numFmtId="168" fontId="173" fillId="45" borderId="70" xfId="8737" applyNumberFormat="1" applyFont="1" applyFill="1" applyBorder="1" applyAlignment="1">
      <alignment horizontal="center"/>
    </xf>
    <xf numFmtId="1" fontId="173" fillId="45" borderId="70" xfId="8737" applyNumberFormat="1" applyFont="1" applyFill="1" applyBorder="1" applyAlignment="1">
      <alignment horizontal="center"/>
    </xf>
    <xf numFmtId="0" fontId="173" fillId="45" borderId="70" xfId="8737" applyNumberFormat="1" applyFont="1" applyFill="1" applyBorder="1" applyAlignment="1">
      <alignment horizontal="center"/>
    </xf>
    <xf numFmtId="0" fontId="173" fillId="45" borderId="77" xfId="8737" applyNumberFormat="1" applyFont="1" applyFill="1" applyBorder="1" applyAlignment="1">
      <alignment horizontal="center"/>
    </xf>
    <xf numFmtId="0" fontId="169" fillId="48" borderId="74" xfId="8736" applyFont="1" applyFill="1" applyBorder="1" applyAlignment="1" applyProtection="1">
      <alignment horizontal="left"/>
      <protection locked="0"/>
    </xf>
    <xf numFmtId="0" fontId="169" fillId="48" borderId="68" xfId="8736" applyFont="1" applyFill="1" applyBorder="1" applyAlignment="1" applyProtection="1">
      <alignment horizontal="left"/>
      <protection locked="0"/>
    </xf>
    <xf numFmtId="0" fontId="169" fillId="48" borderId="71" xfId="8736" applyFont="1" applyFill="1" applyBorder="1" applyAlignment="1" applyProtection="1">
      <alignment horizontal="left"/>
      <protection locked="0"/>
    </xf>
    <xf numFmtId="0" fontId="166" fillId="45" borderId="72" xfId="8736" applyFont="1" applyFill="1" applyBorder="1" applyAlignment="1">
      <alignment horizontal="center"/>
    </xf>
    <xf numFmtId="0" fontId="166" fillId="45" borderId="11" xfId="8736" applyFont="1" applyFill="1" applyBorder="1" applyAlignment="1">
      <alignment horizontal="center"/>
    </xf>
    <xf numFmtId="0" fontId="166" fillId="45" borderId="81" xfId="8736" applyFont="1" applyFill="1" applyBorder="1" applyAlignment="1">
      <alignment horizontal="center"/>
    </xf>
    <xf numFmtId="0" fontId="103" fillId="45" borderId="69" xfId="8736" applyFont="1" applyFill="1" applyBorder="1" applyAlignment="1">
      <alignment horizontal="center"/>
    </xf>
    <xf numFmtId="0" fontId="103" fillId="45" borderId="70" xfId="8736" applyFont="1" applyFill="1" applyBorder="1" applyAlignment="1">
      <alignment horizontal="center"/>
    </xf>
    <xf numFmtId="0" fontId="172" fillId="44" borderId="69" xfId="8736" applyFont="1" applyFill="1" applyBorder="1" applyAlignment="1" applyProtection="1">
      <alignment horizontal="right"/>
      <protection locked="0"/>
    </xf>
    <xf numFmtId="0" fontId="172" fillId="44" borderId="70" xfId="8736" applyFont="1" applyFill="1" applyBorder="1" applyAlignment="1" applyProtection="1">
      <alignment horizontal="right"/>
      <protection locked="0"/>
    </xf>
    <xf numFmtId="0" fontId="172" fillId="44" borderId="77" xfId="8736" applyFont="1" applyFill="1" applyBorder="1" applyAlignment="1" applyProtection="1">
      <alignment horizontal="right"/>
      <protection locked="0"/>
    </xf>
    <xf numFmtId="0" fontId="172" fillId="48" borderId="95" xfId="8736" applyFont="1" applyFill="1" applyBorder="1" applyAlignment="1" applyProtection="1">
      <alignment horizontal="left"/>
      <protection locked="0"/>
    </xf>
    <xf numFmtId="0" fontId="172" fillId="48" borderId="70" xfId="8736" applyFont="1" applyFill="1" applyBorder="1" applyAlignment="1" applyProtection="1">
      <alignment horizontal="left"/>
      <protection locked="0"/>
    </xf>
    <xf numFmtId="0" fontId="172" fillId="48" borderId="77" xfId="8736" applyFont="1" applyFill="1" applyBorder="1" applyAlignment="1" applyProtection="1">
      <alignment horizontal="left"/>
      <protection locked="0"/>
    </xf>
    <xf numFmtId="168" fontId="174" fillId="48" borderId="11" xfId="700" applyNumberFormat="1" applyFont="1" applyFill="1" applyBorder="1" applyAlignment="1" applyProtection="1">
      <alignment horizontal="left"/>
      <protection locked="0"/>
    </xf>
    <xf numFmtId="168" fontId="174" fillId="48" borderId="76" xfId="700" applyNumberFormat="1" applyFont="1" applyFill="1" applyBorder="1" applyAlignment="1" applyProtection="1">
      <alignment horizontal="left"/>
      <protection locked="0"/>
    </xf>
    <xf numFmtId="0" fontId="172" fillId="48" borderId="68" xfId="8736" applyFont="1" applyFill="1" applyBorder="1" applyAlignment="1" applyProtection="1">
      <alignment horizontal="left"/>
      <protection locked="0"/>
    </xf>
    <xf numFmtId="0" fontId="172" fillId="48" borderId="71" xfId="8736" applyFont="1" applyFill="1" applyBorder="1" applyAlignment="1" applyProtection="1">
      <alignment horizontal="left"/>
      <protection locked="0"/>
    </xf>
    <xf numFmtId="0" fontId="166" fillId="45" borderId="69" xfId="8736" applyFont="1" applyFill="1" applyBorder="1" applyAlignment="1">
      <alignment horizontal="center"/>
    </xf>
    <xf numFmtId="0" fontId="166" fillId="45" borderId="70" xfId="8736" applyFont="1" applyFill="1" applyBorder="1" applyAlignment="1">
      <alignment horizontal="center"/>
    </xf>
    <xf numFmtId="0" fontId="103" fillId="45" borderId="67" xfId="8736" applyFont="1" applyFill="1" applyBorder="1" applyAlignment="1">
      <alignment horizontal="center"/>
    </xf>
    <xf numFmtId="0" fontId="103" fillId="45" borderId="68" xfId="8736" applyFont="1" applyFill="1" applyBorder="1" applyAlignment="1">
      <alignment horizontal="center"/>
    </xf>
    <xf numFmtId="0" fontId="166" fillId="45" borderId="98" xfId="8736" applyFont="1" applyFill="1" applyBorder="1" applyAlignment="1">
      <alignment horizontal="center"/>
    </xf>
    <xf numFmtId="0" fontId="166" fillId="45" borderId="13" xfId="8736" applyFont="1" applyFill="1" applyBorder="1" applyAlignment="1">
      <alignment horizontal="center"/>
    </xf>
    <xf numFmtId="0" fontId="172" fillId="48" borderId="72" xfId="8736" applyFont="1" applyFill="1" applyBorder="1" applyAlignment="1" applyProtection="1">
      <alignment horizontal="left" vertical="top"/>
      <protection locked="0"/>
    </xf>
    <xf numFmtId="0" fontId="172" fillId="48" borderId="11" xfId="8736" applyFont="1" applyFill="1" applyBorder="1" applyAlignment="1" applyProtection="1">
      <alignment horizontal="left" vertical="top"/>
      <protection locked="0"/>
    </xf>
    <xf numFmtId="0" fontId="172" fillId="48" borderId="76" xfId="8736" applyFont="1" applyFill="1" applyBorder="1" applyAlignment="1" applyProtection="1">
      <alignment horizontal="left" vertical="top"/>
      <protection locked="0"/>
    </xf>
    <xf numFmtId="0" fontId="172" fillId="48" borderId="69" xfId="8736" applyFont="1" applyFill="1" applyBorder="1" applyAlignment="1" applyProtection="1">
      <alignment horizontal="left" vertical="top"/>
      <protection locked="0"/>
    </xf>
    <xf numFmtId="0" fontId="172" fillId="48" borderId="70" xfId="8736" applyFont="1" applyFill="1" applyBorder="1" applyAlignment="1" applyProtection="1">
      <alignment horizontal="left" vertical="top"/>
      <protection locked="0"/>
    </xf>
    <xf numFmtId="0" fontId="172" fillId="48" borderId="77" xfId="8736" applyFont="1" applyFill="1" applyBorder="1" applyAlignment="1" applyProtection="1">
      <alignment horizontal="left" vertical="top"/>
      <protection locked="0"/>
    </xf>
    <xf numFmtId="0" fontId="172" fillId="48" borderId="72" xfId="8736" applyFont="1" applyFill="1" applyBorder="1" applyAlignment="1" applyProtection="1">
      <alignment horizontal="center"/>
      <protection locked="0"/>
    </xf>
    <xf numFmtId="0" fontId="166" fillId="45" borderId="89" xfId="8736" applyFont="1" applyFill="1" applyBorder="1" applyAlignment="1">
      <alignment horizontal="right"/>
    </xf>
    <xf numFmtId="0" fontId="166" fillId="45" borderId="43" xfId="8736" applyFont="1" applyFill="1" applyBorder="1" applyAlignment="1">
      <alignment horizontal="right"/>
    </xf>
    <xf numFmtId="168" fontId="166" fillId="45" borderId="43" xfId="8736" applyNumberFormat="1" applyFont="1" applyFill="1" applyBorder="1" applyAlignment="1">
      <alignment horizontal="left"/>
    </xf>
    <xf numFmtId="168" fontId="166" fillId="45" borderId="88" xfId="8736" applyNumberFormat="1" applyFont="1" applyFill="1" applyBorder="1" applyAlignment="1">
      <alignment horizontal="left"/>
    </xf>
    <xf numFmtId="0" fontId="3" fillId="48" borderId="9" xfId="8736" applyFill="1" applyBorder="1" applyAlignment="1" applyProtection="1">
      <alignment horizontal="center"/>
      <protection locked="0"/>
    </xf>
    <xf numFmtId="0" fontId="3" fillId="48" borderId="6" xfId="8736" applyFill="1" applyBorder="1" applyAlignment="1" applyProtection="1">
      <alignment horizontal="center"/>
      <protection locked="0"/>
    </xf>
    <xf numFmtId="0" fontId="3" fillId="48" borderId="82" xfId="8736" applyFill="1" applyBorder="1" applyAlignment="1" applyProtection="1">
      <alignment horizontal="center"/>
      <protection locked="0"/>
    </xf>
    <xf numFmtId="0" fontId="103" fillId="45" borderId="67" xfId="8736" applyFont="1" applyFill="1" applyBorder="1" applyAlignment="1">
      <alignment horizontal="center" wrapText="1"/>
    </xf>
    <xf numFmtId="0" fontId="103" fillId="45" borderId="68" xfId="8736" applyFont="1" applyFill="1" applyBorder="1" applyAlignment="1">
      <alignment horizontal="center" wrapText="1"/>
    </xf>
    <xf numFmtId="0" fontId="103" fillId="45" borderId="71" xfId="8736" applyFont="1" applyFill="1" applyBorder="1" applyAlignment="1">
      <alignment horizontal="center" wrapText="1"/>
    </xf>
    <xf numFmtId="0" fontId="103" fillId="45" borderId="67" xfId="8736" applyFont="1" applyFill="1" applyBorder="1" applyAlignment="1">
      <alignment horizontal="left" wrapText="1"/>
    </xf>
    <xf numFmtId="0" fontId="103" fillId="45" borderId="68" xfId="8736" applyFont="1" applyFill="1" applyBorder="1" applyAlignment="1">
      <alignment horizontal="left" wrapText="1"/>
    </xf>
    <xf numFmtId="0" fontId="103" fillId="45" borderId="72" xfId="8736" applyFont="1" applyFill="1" applyBorder="1" applyAlignment="1">
      <alignment horizontal="left" wrapText="1"/>
    </xf>
    <xf numFmtId="0" fontId="103" fillId="45" borderId="11" xfId="8736" applyFont="1" applyFill="1" applyBorder="1" applyAlignment="1">
      <alignment horizontal="left" wrapText="1"/>
    </xf>
    <xf numFmtId="0" fontId="169" fillId="48" borderId="68" xfId="8736" applyFont="1" applyFill="1" applyBorder="1" applyAlignment="1" applyProtection="1">
      <alignment horizontal="left" wrapText="1"/>
      <protection locked="0"/>
    </xf>
    <xf numFmtId="0" fontId="169" fillId="48" borderId="71" xfId="8736" applyFont="1" applyFill="1" applyBorder="1" applyAlignment="1" applyProtection="1">
      <alignment horizontal="left" wrapText="1"/>
      <protection locked="0"/>
    </xf>
    <xf numFmtId="0" fontId="169" fillId="48" borderId="11" xfId="8736" applyFont="1" applyFill="1" applyBorder="1" applyAlignment="1" applyProtection="1">
      <alignment horizontal="left" wrapText="1"/>
      <protection locked="0"/>
    </xf>
    <xf numFmtId="0" fontId="169" fillId="48" borderId="76" xfId="8736" applyFont="1" applyFill="1" applyBorder="1" applyAlignment="1" applyProtection="1">
      <alignment horizontal="left" wrapText="1"/>
      <protection locked="0"/>
    </xf>
    <xf numFmtId="0" fontId="173" fillId="45" borderId="11" xfId="8736" applyFont="1" applyFill="1" applyBorder="1" applyAlignment="1">
      <alignment horizontal="center" wrapText="1"/>
    </xf>
    <xf numFmtId="0" fontId="165" fillId="45" borderId="11" xfId="8736" applyFont="1" applyFill="1" applyBorder="1" applyAlignment="1">
      <alignment horizontal="center"/>
    </xf>
    <xf numFmtId="0" fontId="165" fillId="45" borderId="76" xfId="8736" applyFont="1" applyFill="1" applyBorder="1" applyAlignment="1">
      <alignment horizontal="center"/>
    </xf>
    <xf numFmtId="0" fontId="3" fillId="48" borderId="70" xfId="8736" applyFill="1" applyBorder="1" applyAlignment="1" applyProtection="1">
      <alignment horizontal="center"/>
      <protection locked="0"/>
    </xf>
    <xf numFmtId="0" fontId="3" fillId="48" borderId="77" xfId="8736" applyFill="1" applyBorder="1" applyAlignment="1" applyProtection="1">
      <alignment horizontal="center"/>
      <protection locked="0"/>
    </xf>
    <xf numFmtId="0" fontId="3" fillId="48" borderId="11" xfId="8736" applyFill="1" applyBorder="1" applyAlignment="1" applyProtection="1">
      <alignment horizontal="center"/>
      <protection locked="0"/>
    </xf>
    <xf numFmtId="0" fontId="3" fillId="48" borderId="76" xfId="8736" applyFill="1" applyBorder="1" applyAlignment="1" applyProtection="1">
      <alignment horizontal="center"/>
      <protection locked="0"/>
    </xf>
    <xf numFmtId="0" fontId="169" fillId="48" borderId="3" xfId="8736" applyFont="1" applyFill="1" applyBorder="1" applyAlignment="1" applyProtection="1">
      <alignment horizontal="center"/>
      <protection locked="0"/>
    </xf>
    <xf numFmtId="0" fontId="169" fillId="48" borderId="4" xfId="8736" applyFont="1" applyFill="1" applyBorder="1" applyAlignment="1" applyProtection="1">
      <alignment horizontal="center"/>
      <protection locked="0"/>
    </xf>
    <xf numFmtId="0" fontId="169" fillId="48" borderId="81" xfId="8736" applyFont="1" applyFill="1" applyBorder="1" applyAlignment="1" applyProtection="1">
      <alignment horizontal="center"/>
      <protection locked="0"/>
    </xf>
    <xf numFmtId="0" fontId="103" fillId="45" borderId="71" xfId="8736" applyFont="1" applyFill="1" applyBorder="1" applyAlignment="1">
      <alignment horizontal="center"/>
    </xf>
    <xf numFmtId="0" fontId="103" fillId="45" borderId="67" xfId="8736" applyFont="1" applyFill="1" applyBorder="1" applyAlignment="1" applyProtection="1">
      <alignment horizontal="left" vertical="center" wrapText="1"/>
      <protection locked="0"/>
    </xf>
    <xf numFmtId="0" fontId="103" fillId="45" borderId="68" xfId="8736" applyFont="1" applyFill="1" applyBorder="1" applyAlignment="1" applyProtection="1">
      <alignment horizontal="left" vertical="center" wrapText="1"/>
      <protection locked="0"/>
    </xf>
    <xf numFmtId="0" fontId="103" fillId="45" borderId="72" xfId="8736" applyFont="1" applyFill="1" applyBorder="1" applyAlignment="1" applyProtection="1">
      <alignment horizontal="left" vertical="center" wrapText="1"/>
      <protection locked="0"/>
    </xf>
    <xf numFmtId="0" fontId="103" fillId="45" borderId="11" xfId="8736" applyFont="1" applyFill="1" applyBorder="1" applyAlignment="1" applyProtection="1">
      <alignment horizontal="left" vertical="center" wrapText="1"/>
      <protection locked="0"/>
    </xf>
    <xf numFmtId="0" fontId="169" fillId="48" borderId="68" xfId="8736" applyFont="1" applyFill="1" applyBorder="1" applyAlignment="1" applyProtection="1">
      <alignment horizontal="left" vertical="center" wrapText="1"/>
      <protection locked="0"/>
    </xf>
    <xf numFmtId="0" fontId="169" fillId="48" borderId="71" xfId="8736" applyFont="1" applyFill="1" applyBorder="1" applyAlignment="1" applyProtection="1">
      <alignment horizontal="left" vertical="center" wrapText="1"/>
      <protection locked="0"/>
    </xf>
    <xf numFmtId="0" fontId="169" fillId="48" borderId="11" xfId="8736" applyFont="1" applyFill="1" applyBorder="1" applyAlignment="1" applyProtection="1">
      <alignment horizontal="left" vertical="center" wrapText="1"/>
      <protection locked="0"/>
    </xf>
    <xf numFmtId="0" fontId="169" fillId="48" borderId="76" xfId="8736" applyFont="1" applyFill="1" applyBorder="1" applyAlignment="1" applyProtection="1">
      <alignment horizontal="left" vertical="center" wrapText="1"/>
      <protection locked="0"/>
    </xf>
    <xf numFmtId="0" fontId="172" fillId="48" borderId="72" xfId="8736" applyFont="1" applyFill="1" applyBorder="1" applyAlignment="1" applyProtection="1">
      <alignment horizontal="left" vertical="top" wrapText="1"/>
      <protection locked="0"/>
    </xf>
    <xf numFmtId="0" fontId="172" fillId="48" borderId="11" xfId="8736" applyFont="1" applyFill="1" applyBorder="1" applyAlignment="1" applyProtection="1">
      <alignment horizontal="left" vertical="top" wrapText="1"/>
      <protection locked="0"/>
    </xf>
    <xf numFmtId="0" fontId="172" fillId="48" borderId="69" xfId="8736" applyFont="1" applyFill="1" applyBorder="1" applyAlignment="1" applyProtection="1">
      <alignment horizontal="left" vertical="top" wrapText="1"/>
      <protection locked="0"/>
    </xf>
    <xf numFmtId="0" fontId="172" fillId="48" borderId="70" xfId="8736" applyFont="1" applyFill="1" applyBorder="1" applyAlignment="1" applyProtection="1">
      <alignment horizontal="left" vertical="top" wrapText="1"/>
      <protection locked="0"/>
    </xf>
    <xf numFmtId="0" fontId="169" fillId="48" borderId="11" xfId="8736" applyFont="1" applyFill="1" applyBorder="1" applyAlignment="1" applyProtection="1">
      <alignment horizontal="center" vertical="center" wrapText="1"/>
      <protection locked="0"/>
    </xf>
    <xf numFmtId="0" fontId="169" fillId="48" borderId="76" xfId="8736" applyFont="1" applyFill="1" applyBorder="1" applyAlignment="1" applyProtection="1">
      <alignment horizontal="center" vertical="center" wrapText="1"/>
      <protection locked="0"/>
    </xf>
    <xf numFmtId="0" fontId="169" fillId="48" borderId="70" xfId="8736" applyFont="1" applyFill="1" applyBorder="1" applyAlignment="1" applyProtection="1">
      <alignment horizontal="center" vertical="center" wrapText="1"/>
      <protection locked="0"/>
    </xf>
    <xf numFmtId="0" fontId="169" fillId="48" borderId="77" xfId="8736" applyFont="1" applyFill="1" applyBorder="1" applyAlignment="1" applyProtection="1">
      <alignment horizontal="center" vertical="center" wrapText="1"/>
      <protection locked="0"/>
    </xf>
    <xf numFmtId="0" fontId="176" fillId="45" borderId="72" xfId="8736" applyFont="1" applyFill="1" applyBorder="1" applyAlignment="1">
      <alignment horizontal="left"/>
    </xf>
    <xf numFmtId="0" fontId="176" fillId="45" borderId="11" xfId="8736" applyFont="1" applyFill="1" applyBorder="1" applyAlignment="1">
      <alignment horizontal="left"/>
    </xf>
    <xf numFmtId="0" fontId="176" fillId="45" borderId="69" xfId="8736" applyFont="1" applyFill="1" applyBorder="1" applyAlignment="1">
      <alignment horizontal="left"/>
    </xf>
    <xf numFmtId="0" fontId="176" fillId="45" borderId="70" xfId="8736" applyFont="1" applyFill="1" applyBorder="1" applyAlignment="1">
      <alignment horizontal="left"/>
    </xf>
    <xf numFmtId="0" fontId="3" fillId="51" borderId="70" xfId="8736" applyFill="1" applyBorder="1" applyAlignment="1" applyProtection="1">
      <alignment horizontal="center"/>
      <protection locked="0"/>
    </xf>
    <xf numFmtId="0" fontId="3" fillId="51" borderId="77" xfId="8736" applyFill="1" applyBorder="1" applyAlignment="1" applyProtection="1">
      <alignment horizontal="center"/>
      <protection locked="0"/>
    </xf>
    <xf numFmtId="0" fontId="103" fillId="45" borderId="71" xfId="8736" applyFont="1" applyFill="1" applyBorder="1" applyAlignment="1">
      <alignment horizontal="left" wrapText="1"/>
    </xf>
    <xf numFmtId="0" fontId="103" fillId="45" borderId="76" xfId="8736" applyFont="1" applyFill="1" applyBorder="1" applyAlignment="1">
      <alignment horizontal="left" wrapText="1"/>
    </xf>
    <xf numFmtId="0" fontId="103" fillId="45" borderId="65" xfId="8736" applyFont="1" applyFill="1" applyBorder="1" applyAlignment="1">
      <alignment horizontal="center"/>
    </xf>
    <xf numFmtId="0" fontId="103" fillId="45" borderId="29" xfId="8736" applyFont="1" applyFill="1" applyBorder="1" applyAlignment="1">
      <alignment horizontal="center"/>
    </xf>
    <xf numFmtId="0" fontId="103" fillId="45" borderId="31" xfId="8736" applyFont="1" applyFill="1" applyBorder="1" applyAlignment="1">
      <alignment horizontal="center"/>
    </xf>
    <xf numFmtId="0" fontId="165" fillId="48" borderId="90" xfId="8736" applyFont="1" applyFill="1" applyBorder="1" applyAlignment="1">
      <alignment horizontal="left"/>
    </xf>
    <xf numFmtId="0" fontId="165" fillId="48" borderId="4" xfId="8736" applyFont="1" applyFill="1" applyBorder="1" applyAlignment="1">
      <alignment horizontal="left"/>
    </xf>
    <xf numFmtId="0" fontId="165" fillId="48" borderId="5" xfId="8736" applyFont="1" applyFill="1" applyBorder="1" applyAlignment="1">
      <alignment horizontal="left"/>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177" fillId="48" borderId="11" xfId="8736" applyFont="1" applyFill="1" applyBorder="1" applyAlignment="1" applyProtection="1">
      <alignment horizontal="left"/>
      <protection locked="0"/>
    </xf>
    <xf numFmtId="0" fontId="177" fillId="48" borderId="76" xfId="8736" applyFont="1" applyFill="1" applyBorder="1" applyAlignment="1" applyProtection="1">
      <alignment horizontal="left"/>
      <protection locked="0"/>
    </xf>
    <xf numFmtId="0" fontId="174" fillId="48" borderId="72" xfId="8736" applyFont="1" applyFill="1" applyBorder="1" applyAlignment="1" applyProtection="1">
      <alignment horizontal="left" vertical="top"/>
      <protection locked="0"/>
    </xf>
    <xf numFmtId="0" fontId="174" fillId="48" borderId="11" xfId="8736" applyFont="1" applyFill="1" applyBorder="1" applyAlignment="1" applyProtection="1">
      <alignment horizontal="left" vertical="top"/>
      <protection locked="0"/>
    </xf>
    <xf numFmtId="0" fontId="174" fillId="48" borderId="76" xfId="8736" applyFont="1" applyFill="1" applyBorder="1" applyAlignment="1" applyProtection="1">
      <alignment horizontal="left" vertical="top"/>
      <protection locked="0"/>
    </xf>
    <xf numFmtId="0" fontId="174" fillId="48" borderId="69" xfId="8736" applyFont="1" applyFill="1" applyBorder="1" applyAlignment="1" applyProtection="1">
      <alignment horizontal="left" vertical="top"/>
      <protection locked="0"/>
    </xf>
    <xf numFmtId="0" fontId="174" fillId="48" borderId="70" xfId="8736" applyFont="1" applyFill="1" applyBorder="1" applyAlignment="1" applyProtection="1">
      <alignment horizontal="left" vertical="top"/>
      <protection locked="0"/>
    </xf>
    <xf numFmtId="0" fontId="174" fillId="48" borderId="77" xfId="8736" applyFont="1" applyFill="1" applyBorder="1" applyAlignment="1" applyProtection="1">
      <alignment horizontal="left" vertical="top"/>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03" fillId="45" borderId="72" xfId="8736" applyFont="1" applyFill="1" applyBorder="1" applyAlignment="1">
      <alignment horizontal="center"/>
    </xf>
    <xf numFmtId="0" fontId="103" fillId="45" borderId="11" xfId="8736" applyFont="1" applyFill="1" applyBorder="1" applyAlignment="1">
      <alignment horizontal="center"/>
    </xf>
    <xf numFmtId="0" fontId="165" fillId="45" borderId="11" xfId="8736" applyFont="1" applyFill="1" applyBorder="1" applyAlignment="1">
      <alignment horizontal="center" wrapText="1"/>
    </xf>
    <xf numFmtId="0" fontId="165" fillId="45" borderId="76" xfId="8736" applyFont="1" applyFill="1" applyBorder="1" applyAlignment="1">
      <alignment horizontal="center" wrapText="1"/>
    </xf>
    <xf numFmtId="0" fontId="179" fillId="45" borderId="11" xfId="8736" applyFont="1" applyFill="1" applyBorder="1" applyAlignment="1">
      <alignment horizontal="left"/>
    </xf>
    <xf numFmtId="0" fontId="179" fillId="45" borderId="76" xfId="8736" applyFont="1" applyFill="1" applyBorder="1" applyAlignment="1">
      <alignment horizontal="left"/>
    </xf>
    <xf numFmtId="0" fontId="171" fillId="45" borderId="72" xfId="8736" applyFont="1" applyFill="1" applyBorder="1" applyAlignment="1">
      <alignment horizontal="center"/>
    </xf>
    <xf numFmtId="0" fontId="171" fillId="45" borderId="11" xfId="8736" applyFont="1" applyFill="1" applyBorder="1" applyAlignment="1">
      <alignment horizontal="center"/>
    </xf>
    <xf numFmtId="0" fontId="174" fillId="48" borderId="11" xfId="8736" applyFont="1" applyFill="1" applyBorder="1" applyAlignment="1" applyProtection="1">
      <alignment horizontal="center"/>
      <protection locked="0"/>
    </xf>
    <xf numFmtId="14" fontId="172" fillId="48" borderId="11" xfId="8736" applyNumberFormat="1" applyFont="1" applyFill="1" applyBorder="1" applyAlignment="1" applyProtection="1">
      <alignment horizontal="center"/>
      <protection locked="0"/>
    </xf>
    <xf numFmtId="14" fontId="174" fillId="48" borderId="11" xfId="8736" applyNumberFormat="1" applyFont="1" applyFill="1" applyBorder="1" applyAlignment="1" applyProtection="1">
      <alignment horizontal="center"/>
      <protection locked="0"/>
    </xf>
    <xf numFmtId="0" fontId="103" fillId="45" borderId="76" xfId="8736" applyFont="1" applyFill="1" applyBorder="1" applyAlignment="1">
      <alignment horizontal="center"/>
    </xf>
    <xf numFmtId="168" fontId="174" fillId="48" borderId="11" xfId="8737" applyNumberFormat="1" applyFont="1" applyFill="1" applyBorder="1" applyAlignment="1" applyProtection="1">
      <alignment horizontal="center"/>
      <protection locked="0"/>
    </xf>
    <xf numFmtId="168" fontId="174" fillId="48" borderId="76" xfId="8737" applyNumberFormat="1" applyFont="1" applyFill="1" applyBorder="1" applyAlignment="1" applyProtection="1">
      <alignment horizontal="center"/>
      <protection locked="0"/>
    </xf>
    <xf numFmtId="0" fontId="175" fillId="48" borderId="11" xfId="8736" applyFont="1" applyFill="1" applyBorder="1" applyAlignment="1" applyProtection="1">
      <alignment horizontal="left"/>
      <protection locked="0"/>
    </xf>
    <xf numFmtId="0" fontId="171" fillId="45" borderId="69" xfId="8736" applyFont="1" applyFill="1" applyBorder="1" applyAlignment="1">
      <alignment horizontal="center"/>
    </xf>
    <xf numFmtId="0" fontId="171" fillId="45" borderId="70" xfId="8736" applyFont="1" applyFill="1" applyBorder="1" applyAlignment="1">
      <alignment horizontal="center"/>
    </xf>
    <xf numFmtId="0" fontId="175" fillId="48" borderId="70" xfId="8736" applyFont="1" applyFill="1" applyBorder="1" applyAlignment="1" applyProtection="1">
      <alignment horizontal="left"/>
      <protection locked="0"/>
    </xf>
    <xf numFmtId="0" fontId="174" fillId="48" borderId="70" xfId="8736" applyFont="1" applyFill="1" applyBorder="1" applyAlignment="1" applyProtection="1">
      <alignment horizontal="center"/>
      <protection locked="0"/>
    </xf>
    <xf numFmtId="14" fontId="174" fillId="48" borderId="70" xfId="8736" applyNumberFormat="1" applyFont="1" applyFill="1" applyBorder="1" applyAlignment="1" applyProtection="1">
      <alignment horizontal="center"/>
      <protection locked="0"/>
    </xf>
    <xf numFmtId="168" fontId="174" fillId="48" borderId="70" xfId="8737" applyNumberFormat="1" applyFont="1" applyFill="1" applyBorder="1" applyAlignment="1" applyProtection="1">
      <alignment horizontal="center"/>
      <protection locked="0"/>
    </xf>
    <xf numFmtId="168" fontId="174" fillId="48" borderId="77" xfId="8737" applyNumberFormat="1" applyFont="1" applyFill="1" applyBorder="1" applyAlignment="1" applyProtection="1">
      <alignment horizontal="center"/>
      <protection locked="0"/>
    </xf>
    <xf numFmtId="0" fontId="166" fillId="45" borderId="67" xfId="8736" applyFont="1" applyFill="1" applyBorder="1" applyAlignment="1">
      <alignment horizontal="left"/>
    </xf>
    <xf numFmtId="0" fontId="166" fillId="45" borderId="68" xfId="8736" applyFont="1" applyFill="1" applyBorder="1" applyAlignment="1">
      <alignment horizontal="left"/>
    </xf>
    <xf numFmtId="0" fontId="166" fillId="45" borderId="71" xfId="8736" applyFont="1" applyFill="1" applyBorder="1" applyAlignment="1">
      <alignment horizontal="left"/>
    </xf>
    <xf numFmtId="14" fontId="172" fillId="48" borderId="76" xfId="8736" applyNumberFormat="1" applyFont="1" applyFill="1" applyBorder="1" applyAlignment="1" applyProtection="1">
      <alignment horizontal="center"/>
      <protection locked="0"/>
    </xf>
    <xf numFmtId="0" fontId="172" fillId="48" borderId="69" xfId="8736" applyFont="1" applyFill="1" applyBorder="1" applyAlignment="1" applyProtection="1">
      <alignment horizontal="center"/>
      <protection locked="0"/>
    </xf>
    <xf numFmtId="0" fontId="172" fillId="48" borderId="70" xfId="8736" applyFont="1" applyFill="1" applyBorder="1" applyAlignment="1" applyProtection="1">
      <alignment horizontal="center"/>
      <protection locked="0"/>
    </xf>
    <xf numFmtId="14" fontId="172" fillId="48" borderId="70" xfId="8736" applyNumberFormat="1" applyFont="1" applyFill="1" applyBorder="1" applyAlignment="1" applyProtection="1">
      <alignment horizontal="center"/>
      <protection locked="0"/>
    </xf>
    <xf numFmtId="14" fontId="172" fillId="48" borderId="77" xfId="8736" applyNumberFormat="1" applyFont="1" applyFill="1" applyBorder="1" applyAlignment="1" applyProtection="1">
      <alignment horizontal="center"/>
      <protection locked="0"/>
    </xf>
    <xf numFmtId="0" fontId="172" fillId="45" borderId="72" xfId="8736" applyFont="1" applyFill="1" applyBorder="1" applyAlignment="1">
      <alignment horizontal="right"/>
    </xf>
    <xf numFmtId="0" fontId="172" fillId="45" borderId="11" xfId="8736" applyFont="1" applyFill="1" applyBorder="1" applyAlignment="1">
      <alignment horizontal="right"/>
    </xf>
    <xf numFmtId="168" fontId="174" fillId="44" borderId="11" xfId="700" applyNumberFormat="1" applyFont="1" applyFill="1" applyBorder="1" applyAlignment="1">
      <alignment horizontal="left"/>
    </xf>
    <xf numFmtId="0" fontId="103" fillId="45" borderId="65" xfId="8736" applyFont="1" applyFill="1" applyBorder="1" applyAlignment="1">
      <alignment horizontal="left" wrapText="1"/>
    </xf>
    <xf numFmtId="0" fontId="103" fillId="45" borderId="29" xfId="8736" applyFont="1" applyFill="1" applyBorder="1" applyAlignment="1">
      <alignment horizontal="left" wrapText="1"/>
    </xf>
    <xf numFmtId="0" fontId="103" fillId="45" borderId="31" xfId="8736" applyFont="1" applyFill="1" applyBorder="1" applyAlignment="1">
      <alignment horizontal="left" wrapText="1"/>
    </xf>
    <xf numFmtId="0" fontId="103" fillId="45" borderId="73" xfId="8736" applyFont="1" applyFill="1" applyBorder="1" applyAlignment="1">
      <alignment horizontal="left" wrapText="1"/>
    </xf>
    <xf numFmtId="0" fontId="103" fillId="45" borderId="42" xfId="8736" applyFont="1" applyFill="1" applyBorder="1" applyAlignment="1">
      <alignment horizontal="left" wrapText="1"/>
    </xf>
    <xf numFmtId="0" fontId="103" fillId="45" borderId="44" xfId="8736" applyFont="1" applyFill="1" applyBorder="1" applyAlignment="1">
      <alignment horizontal="left" wrapText="1"/>
    </xf>
    <xf numFmtId="168" fontId="172" fillId="48" borderId="11" xfId="700" applyNumberFormat="1" applyFont="1" applyFill="1" applyBorder="1" applyAlignment="1" applyProtection="1">
      <alignment horizontal="left"/>
      <protection locked="0"/>
    </xf>
    <xf numFmtId="43" fontId="169" fillId="50" borderId="72" xfId="698" applyFont="1" applyFill="1" applyBorder="1" applyAlignment="1" applyProtection="1">
      <alignment horizontal="left"/>
      <protection hidden="1"/>
    </xf>
    <xf numFmtId="43" fontId="169" fillId="50" borderId="11" xfId="698" applyFont="1" applyFill="1" applyBorder="1" applyAlignment="1" applyProtection="1">
      <alignment horizontal="left"/>
      <protection hidden="1"/>
    </xf>
    <xf numFmtId="44" fontId="3" fillId="48" borderId="11" xfId="700" applyFont="1" applyFill="1" applyBorder="1" applyAlignment="1" applyProtection="1">
      <alignment horizontal="center"/>
      <protection locked="0"/>
    </xf>
    <xf numFmtId="0" fontId="103" fillId="47" borderId="0" xfId="8736" applyFont="1" applyFill="1" applyAlignment="1">
      <alignment horizontal="center"/>
    </xf>
    <xf numFmtId="0" fontId="173" fillId="51" borderId="11" xfId="8736" applyFont="1" applyFill="1" applyBorder="1" applyAlignment="1">
      <alignment horizontal="center"/>
    </xf>
    <xf numFmtId="0" fontId="173" fillId="51" borderId="76" xfId="8736" applyFont="1" applyFill="1" applyBorder="1" applyAlignment="1">
      <alignment horizontal="center"/>
    </xf>
    <xf numFmtId="0" fontId="174" fillId="45" borderId="72" xfId="8736" applyFont="1" applyFill="1" applyBorder="1" applyAlignment="1">
      <alignment horizontal="right"/>
    </xf>
    <xf numFmtId="0" fontId="174" fillId="45" borderId="11" xfId="8736" applyFont="1" applyFill="1" applyBorder="1" applyAlignment="1">
      <alignment horizontal="right"/>
    </xf>
    <xf numFmtId="168" fontId="172" fillId="44" borderId="11" xfId="700" applyNumberFormat="1" applyFont="1" applyFill="1" applyBorder="1" applyAlignment="1" applyProtection="1">
      <alignment horizontal="left"/>
      <protection locked="0"/>
    </xf>
    <xf numFmtId="0" fontId="3" fillId="48" borderId="3" xfId="8736" applyFill="1" applyBorder="1" applyAlignment="1">
      <alignment horizontal="center"/>
    </xf>
    <xf numFmtId="0" fontId="3" fillId="48" borderId="4" xfId="8736" applyFill="1" applyBorder="1" applyAlignment="1">
      <alignment horizontal="center"/>
    </xf>
    <xf numFmtId="0" fontId="3" fillId="48" borderId="81" xfId="8736" applyFill="1" applyBorder="1" applyAlignment="1">
      <alignment horizontal="center"/>
    </xf>
    <xf numFmtId="43" fontId="166" fillId="50" borderId="111" xfId="698" applyFont="1" applyFill="1" applyBorder="1" applyAlignment="1" applyProtection="1">
      <alignment horizontal="center"/>
      <protection hidden="1"/>
    </xf>
    <xf numFmtId="43" fontId="166" fillId="50" borderId="84" xfId="698" applyFont="1" applyFill="1" applyBorder="1" applyAlignment="1" applyProtection="1">
      <alignment horizontal="center"/>
      <protection hidden="1"/>
    </xf>
    <xf numFmtId="43" fontId="166" fillId="50" borderId="102" xfId="698" applyFont="1" applyFill="1" applyBorder="1" applyAlignment="1" applyProtection="1">
      <alignment horizontal="center"/>
      <protection hidden="1"/>
    </xf>
    <xf numFmtId="43" fontId="169" fillId="50" borderId="98" xfId="698" applyFont="1" applyFill="1" applyBorder="1" applyAlignment="1" applyProtection="1">
      <alignment horizontal="left"/>
      <protection hidden="1"/>
    </xf>
    <xf numFmtId="43" fontId="169" fillId="50" borderId="13" xfId="698" applyFont="1" applyFill="1" applyBorder="1" applyAlignment="1" applyProtection="1">
      <alignment horizontal="left"/>
      <protection hidden="1"/>
    </xf>
    <xf numFmtId="44" fontId="3" fillId="48" borderId="13" xfId="700" applyFont="1" applyFill="1" applyBorder="1" applyAlignment="1" applyProtection="1">
      <alignment horizontal="center"/>
      <protection locked="0"/>
    </xf>
    <xf numFmtId="0" fontId="172" fillId="48" borderId="9" xfId="8736" applyFont="1" applyFill="1" applyBorder="1" applyAlignment="1">
      <alignment horizontal="center"/>
    </xf>
    <xf numFmtId="0" fontId="172" fillId="48" borderId="6" xfId="8736" applyFont="1" applyFill="1" applyBorder="1" applyAlignment="1">
      <alignment horizontal="center"/>
    </xf>
    <xf numFmtId="0" fontId="172" fillId="48" borderId="82" xfId="8736" applyFont="1" applyFill="1" applyBorder="1" applyAlignment="1">
      <alignment horizontal="center"/>
    </xf>
    <xf numFmtId="0" fontId="174" fillId="48" borderId="11" xfId="8736" applyFont="1" applyFill="1" applyBorder="1" applyAlignment="1" applyProtection="1">
      <alignment horizontal="left"/>
      <protection locked="0"/>
    </xf>
    <xf numFmtId="0" fontId="3" fillId="48" borderId="1" xfId="8736" applyFill="1" applyBorder="1" applyAlignment="1">
      <alignment horizontal="center"/>
    </xf>
    <xf numFmtId="0" fontId="3" fillId="48" borderId="2" xfId="8736" applyFill="1" applyBorder="1" applyAlignment="1">
      <alignment horizontal="center"/>
    </xf>
    <xf numFmtId="0" fontId="3" fillId="48" borderId="112" xfId="8736" applyFill="1" applyBorder="1" applyAlignment="1">
      <alignment horizontal="center"/>
    </xf>
    <xf numFmtId="0" fontId="174" fillId="48" borderId="72" xfId="8736" applyFont="1" applyFill="1" applyBorder="1" applyAlignment="1" applyProtection="1">
      <alignment horizontal="center"/>
      <protection locked="0"/>
    </xf>
    <xf numFmtId="43" fontId="169" fillId="50" borderId="72" xfId="698" applyFont="1" applyFill="1" applyBorder="1" applyAlignment="1" applyProtection="1">
      <alignment horizontal="left" wrapText="1"/>
      <protection hidden="1"/>
    </xf>
    <xf numFmtId="43" fontId="169" fillId="50" borderId="11" xfId="698" applyFont="1" applyFill="1" applyBorder="1" applyAlignment="1" applyProtection="1">
      <alignment horizontal="left" wrapText="1"/>
      <protection hidden="1"/>
    </xf>
    <xf numFmtId="44" fontId="3" fillId="48" borderId="11" xfId="700" applyFont="1" applyFill="1" applyBorder="1" applyAlignment="1" applyProtection="1">
      <alignment horizontal="center"/>
      <protection hidden="1"/>
    </xf>
    <xf numFmtId="0" fontId="174" fillId="45" borderId="67" xfId="8736" applyFont="1" applyFill="1" applyBorder="1" applyAlignment="1">
      <alignment horizontal="right"/>
    </xf>
    <xf numFmtId="0" fontId="174" fillId="45" borderId="68" xfId="8736" applyFont="1" applyFill="1" applyBorder="1" applyAlignment="1">
      <alignment horizontal="right"/>
    </xf>
    <xf numFmtId="168" fontId="169" fillId="44" borderId="68" xfId="700" applyNumberFormat="1" applyFont="1" applyFill="1" applyBorder="1" applyAlignment="1">
      <alignment horizontal="left"/>
    </xf>
    <xf numFmtId="168" fontId="169" fillId="44" borderId="71" xfId="700" applyNumberFormat="1" applyFont="1" applyFill="1" applyBorder="1" applyAlignment="1">
      <alignment horizontal="left"/>
    </xf>
    <xf numFmtId="0" fontId="171" fillId="48" borderId="66" xfId="8736" applyFont="1" applyFill="1" applyBorder="1" applyAlignment="1">
      <alignment horizontal="left" wrapText="1"/>
    </xf>
    <xf numFmtId="0" fontId="171" fillId="48" borderId="0" xfId="8736" applyFont="1" applyFill="1" applyAlignment="1">
      <alignment horizontal="left" wrapText="1"/>
    </xf>
    <xf numFmtId="0" fontId="171" fillId="48" borderId="41" xfId="8736" applyFont="1" applyFill="1" applyBorder="1" applyAlignment="1">
      <alignment horizontal="left" wrapText="1"/>
    </xf>
    <xf numFmtId="0" fontId="171" fillId="48" borderId="73" xfId="8736" applyFont="1" applyFill="1" applyBorder="1" applyAlignment="1">
      <alignment horizontal="left" wrapText="1"/>
    </xf>
    <xf numFmtId="0" fontId="171" fillId="48" borderId="42" xfId="8736" applyFont="1" applyFill="1" applyBorder="1" applyAlignment="1">
      <alignment horizontal="left" wrapText="1"/>
    </xf>
    <xf numFmtId="0" fontId="171" fillId="48" borderId="44" xfId="8736" applyFont="1" applyFill="1" applyBorder="1" applyAlignment="1">
      <alignment horizontal="left" wrapText="1"/>
    </xf>
    <xf numFmtId="0" fontId="173" fillId="45" borderId="69" xfId="8736" applyFont="1" applyFill="1" applyBorder="1" applyAlignment="1">
      <alignment horizontal="right"/>
    </xf>
    <xf numFmtId="0" fontId="173" fillId="45" borderId="70" xfId="8736" applyFont="1" applyFill="1" applyBorder="1" applyAlignment="1">
      <alignment horizontal="right"/>
    </xf>
    <xf numFmtId="0" fontId="165" fillId="44" borderId="70" xfId="700" applyNumberFormat="1" applyFont="1" applyFill="1" applyBorder="1" applyAlignment="1">
      <alignment horizontal="left"/>
    </xf>
    <xf numFmtId="168" fontId="165" fillId="44" borderId="70" xfId="700" applyNumberFormat="1" applyFont="1" applyFill="1" applyBorder="1" applyAlignment="1">
      <alignment horizontal="left"/>
    </xf>
    <xf numFmtId="168" fontId="165" fillId="44" borderId="77" xfId="700" applyNumberFormat="1" applyFont="1" applyFill="1" applyBorder="1" applyAlignment="1">
      <alignment horizontal="left"/>
    </xf>
    <xf numFmtId="0" fontId="166" fillId="47" borderId="0" xfId="8736" applyFont="1" applyFill="1" applyAlignment="1">
      <alignment horizontal="right"/>
    </xf>
    <xf numFmtId="168" fontId="170" fillId="47" borderId="0" xfId="700" applyNumberFormat="1" applyFont="1" applyFill="1" applyBorder="1" applyAlignment="1" applyProtection="1">
      <alignment horizontal="left"/>
      <protection locked="0"/>
    </xf>
    <xf numFmtId="0" fontId="172" fillId="48" borderId="87" xfId="8736" applyFont="1" applyFill="1" applyBorder="1" applyAlignment="1" applyProtection="1">
      <alignment horizontal="center"/>
      <protection locked="0"/>
    </xf>
    <xf numFmtId="0" fontId="172" fillId="48" borderId="86" xfId="8736" applyFont="1" applyFill="1" applyBorder="1" applyAlignment="1" applyProtection="1">
      <alignment horizontal="center"/>
      <protection locked="0"/>
    </xf>
    <xf numFmtId="0" fontId="174" fillId="48" borderId="70" xfId="8736" applyFont="1" applyFill="1" applyBorder="1" applyAlignment="1" applyProtection="1">
      <alignment horizontal="left"/>
      <protection locked="0"/>
    </xf>
    <xf numFmtId="0" fontId="174" fillId="48" borderId="77" xfId="8736" applyFont="1" applyFill="1" applyBorder="1" applyAlignment="1" applyProtection="1">
      <alignment horizontal="left"/>
      <protection locked="0"/>
    </xf>
    <xf numFmtId="168" fontId="172" fillId="48" borderId="86" xfId="700" applyNumberFormat="1" applyFont="1" applyFill="1" applyBorder="1" applyAlignment="1" applyProtection="1">
      <alignment horizontal="left"/>
      <protection locked="0"/>
    </xf>
    <xf numFmtId="168" fontId="172" fillId="48" borderId="85" xfId="700" applyNumberFormat="1" applyFont="1" applyFill="1" applyBorder="1" applyAlignment="1" applyProtection="1">
      <alignment horizontal="left"/>
      <protection locked="0"/>
    </xf>
    <xf numFmtId="0" fontId="172" fillId="48" borderId="87" xfId="8736" applyFont="1" applyFill="1" applyBorder="1" applyAlignment="1" applyProtection="1">
      <alignment horizontal="left"/>
      <protection locked="0"/>
    </xf>
    <xf numFmtId="0" fontId="172" fillId="48" borderId="86" xfId="8736" applyFont="1" applyFill="1" applyBorder="1" applyAlignment="1" applyProtection="1">
      <alignment horizontal="left"/>
      <protection locked="0"/>
    </xf>
    <xf numFmtId="0" fontId="172" fillId="48" borderId="85" xfId="8736" applyFont="1" applyFill="1" applyBorder="1" applyAlignment="1" applyProtection="1">
      <alignment horizontal="left"/>
      <protection locked="0"/>
    </xf>
    <xf numFmtId="0" fontId="103" fillId="48" borderId="80" xfId="8736" applyFont="1" applyFill="1" applyBorder="1" applyAlignment="1">
      <alignment horizontal="left"/>
    </xf>
    <xf numFmtId="0" fontId="103" fillId="48" borderId="79" xfId="8736" applyFont="1" applyFill="1" applyBorder="1" applyAlignment="1">
      <alignment horizontal="left"/>
    </xf>
    <xf numFmtId="44" fontId="3" fillId="48" borderId="84" xfId="700" applyFont="1" applyFill="1" applyBorder="1" applyAlignment="1" applyProtection="1">
      <alignment horizontal="center"/>
      <protection locked="0"/>
    </xf>
    <xf numFmtId="0" fontId="172" fillId="45" borderId="11" xfId="8736" applyFont="1" applyFill="1" applyBorder="1" applyAlignment="1">
      <alignment horizontal="left"/>
    </xf>
    <xf numFmtId="182" fontId="3" fillId="48" borderId="11" xfId="700" applyNumberFormat="1" applyFont="1" applyFill="1" applyBorder="1" applyAlignment="1" applyProtection="1">
      <alignment horizontal="center"/>
      <protection locked="0"/>
    </xf>
    <xf numFmtId="10" fontId="172" fillId="48" borderId="11" xfId="1022" applyNumberFormat="1" applyFont="1" applyFill="1" applyBorder="1" applyAlignment="1" applyProtection="1">
      <alignment horizontal="center"/>
      <protection locked="0"/>
    </xf>
    <xf numFmtId="182" fontId="3" fillId="0" borderId="13" xfId="8736" applyNumberFormat="1" applyBorder="1" applyAlignment="1">
      <alignment horizontal="center"/>
    </xf>
    <xf numFmtId="0" fontId="3" fillId="0" borderId="13" xfId="8736" applyBorder="1" applyAlignment="1">
      <alignment horizontal="center"/>
    </xf>
    <xf numFmtId="0" fontId="165" fillId="45" borderId="80" xfId="569" applyFont="1" applyFill="1" applyBorder="1" applyAlignment="1" applyProtection="1">
      <alignment horizontal="center" wrapText="1"/>
      <protection hidden="1"/>
    </xf>
    <xf numFmtId="0" fontId="165" fillId="45" borderId="79" xfId="569" applyFont="1" applyFill="1" applyBorder="1" applyAlignment="1" applyProtection="1">
      <alignment horizontal="center" wrapText="1"/>
      <protection hidden="1"/>
    </xf>
    <xf numFmtId="0" fontId="165" fillId="45" borderId="78" xfId="569" applyFont="1" applyFill="1" applyBorder="1" applyAlignment="1" applyProtection="1">
      <alignment horizontal="center" wrapText="1"/>
      <protection hidden="1"/>
    </xf>
    <xf numFmtId="0" fontId="165" fillId="45" borderId="13" xfId="569" applyFont="1" applyFill="1" applyBorder="1" applyAlignment="1" applyProtection="1">
      <alignment horizontal="left" wrapText="1"/>
      <protection hidden="1"/>
    </xf>
    <xf numFmtId="0" fontId="165" fillId="45" borderId="13" xfId="569" applyFont="1" applyFill="1" applyBorder="1" applyAlignment="1" applyProtection="1">
      <alignment horizontal="center" wrapText="1"/>
      <protection hidden="1"/>
    </xf>
    <xf numFmtId="0" fontId="171" fillId="45" borderId="11" xfId="8736" applyFont="1" applyFill="1" applyBorder="1" applyAlignment="1">
      <alignment horizontal="left" wrapText="1"/>
    </xf>
    <xf numFmtId="43" fontId="166" fillId="45" borderId="80" xfId="698" applyFont="1" applyFill="1" applyBorder="1" applyAlignment="1" applyProtection="1">
      <alignment horizontal="center"/>
      <protection hidden="1"/>
    </xf>
    <xf numFmtId="43" fontId="166" fillId="45" borderId="79" xfId="698" applyFont="1" applyFill="1" applyBorder="1" applyAlignment="1" applyProtection="1">
      <alignment horizontal="center"/>
      <protection hidden="1"/>
    </xf>
    <xf numFmtId="43" fontId="166" fillId="45" borderId="78" xfId="698" applyFont="1" applyFill="1" applyBorder="1" applyAlignment="1" applyProtection="1">
      <alignment horizontal="center"/>
      <protection hidden="1"/>
    </xf>
    <xf numFmtId="43" fontId="170" fillId="49" borderId="66" xfId="698" applyFont="1" applyFill="1" applyBorder="1" applyAlignment="1" applyProtection="1">
      <alignment horizontal="center" wrapText="1"/>
      <protection hidden="1"/>
    </xf>
    <xf numFmtId="43" fontId="170" fillId="49" borderId="0" xfId="698" applyFont="1" applyFill="1" applyBorder="1" applyAlignment="1" applyProtection="1">
      <alignment horizontal="center" wrapText="1"/>
      <protection hidden="1"/>
    </xf>
    <xf numFmtId="43" fontId="170" fillId="49" borderId="12" xfId="698" applyFont="1" applyFill="1" applyBorder="1" applyAlignment="1" applyProtection="1">
      <alignment horizontal="center" wrapText="1"/>
      <protection hidden="1"/>
    </xf>
    <xf numFmtId="43" fontId="170" fillId="49" borderId="83" xfId="698" applyFont="1" applyFill="1" applyBorder="1" applyAlignment="1" applyProtection="1">
      <alignment horizontal="center" wrapText="1"/>
      <protection hidden="1"/>
    </xf>
    <xf numFmtId="43" fontId="170" fillId="49" borderId="6" xfId="698" applyFont="1" applyFill="1" applyBorder="1" applyAlignment="1" applyProtection="1">
      <alignment horizontal="center" wrapText="1"/>
      <protection hidden="1"/>
    </xf>
    <xf numFmtId="43" fontId="170" fillId="49" borderId="10" xfId="698" applyFont="1" applyFill="1" applyBorder="1" applyAlignment="1" applyProtection="1">
      <alignment horizontal="center" wrapText="1"/>
      <protection hidden="1"/>
    </xf>
    <xf numFmtId="43" fontId="170" fillId="49" borderId="8" xfId="698" applyFont="1" applyFill="1" applyBorder="1" applyAlignment="1" applyProtection="1">
      <alignment horizontal="center" wrapText="1"/>
      <protection hidden="1"/>
    </xf>
    <xf numFmtId="43" fontId="170" fillId="49" borderId="9" xfId="698" applyFont="1" applyFill="1" applyBorder="1" applyAlignment="1" applyProtection="1">
      <alignment horizontal="center" wrapText="1"/>
      <protection hidden="1"/>
    </xf>
    <xf numFmtId="14" fontId="170" fillId="0" borderId="8" xfId="700" applyNumberFormat="1" applyFont="1" applyFill="1" applyBorder="1" applyAlignment="1" applyProtection="1">
      <alignment horizontal="center" wrapText="1"/>
      <protection hidden="1"/>
    </xf>
    <xf numFmtId="14" fontId="170" fillId="0" borderId="0" xfId="700" applyNumberFormat="1" applyFont="1" applyFill="1" applyBorder="1" applyAlignment="1" applyProtection="1">
      <alignment horizontal="center" wrapText="1"/>
      <protection hidden="1"/>
    </xf>
    <xf numFmtId="14" fontId="170" fillId="0" borderId="12" xfId="700" applyNumberFormat="1" applyFont="1" applyFill="1" applyBorder="1" applyAlignment="1" applyProtection="1">
      <alignment horizontal="center" wrapText="1"/>
      <protection hidden="1"/>
    </xf>
    <xf numFmtId="14" fontId="170" fillId="0" borderId="9" xfId="700" applyNumberFormat="1" applyFont="1" applyFill="1" applyBorder="1" applyAlignment="1" applyProtection="1">
      <alignment horizontal="center" wrapText="1"/>
      <protection hidden="1"/>
    </xf>
    <xf numFmtId="14" fontId="170" fillId="0" borderId="6" xfId="700" applyNumberFormat="1" applyFont="1" applyFill="1" applyBorder="1" applyAlignment="1" applyProtection="1">
      <alignment horizontal="center" wrapText="1"/>
      <protection hidden="1"/>
    </xf>
    <xf numFmtId="14" fontId="170" fillId="0" borderId="10" xfId="700" applyNumberFormat="1" applyFont="1" applyFill="1" applyBorder="1" applyAlignment="1" applyProtection="1">
      <alignment horizontal="center" wrapText="1"/>
      <protection hidden="1"/>
    </xf>
    <xf numFmtId="44" fontId="170" fillId="0" borderId="8" xfId="700" applyFont="1" applyBorder="1" applyAlignment="1" applyProtection="1">
      <alignment horizontal="center" wrapText="1"/>
      <protection hidden="1"/>
    </xf>
    <xf numFmtId="44" fontId="170" fillId="0" borderId="0" xfId="700" applyFont="1" applyBorder="1" applyAlignment="1" applyProtection="1">
      <alignment horizontal="center" wrapText="1"/>
      <protection hidden="1"/>
    </xf>
    <xf numFmtId="44" fontId="170" fillId="0" borderId="12" xfId="700" applyFont="1" applyBorder="1" applyAlignment="1" applyProtection="1">
      <alignment horizontal="center" wrapText="1"/>
      <protection hidden="1"/>
    </xf>
    <xf numFmtId="44" fontId="170" fillId="0" borderId="9" xfId="700" applyFont="1" applyBorder="1" applyAlignment="1" applyProtection="1">
      <alignment horizontal="center" wrapText="1"/>
      <protection hidden="1"/>
    </xf>
    <xf numFmtId="44" fontId="170" fillId="0" borderId="6" xfId="700" applyFont="1" applyBorder="1" applyAlignment="1" applyProtection="1">
      <alignment horizontal="center" wrapText="1"/>
      <protection hidden="1"/>
    </xf>
    <xf numFmtId="44" fontId="170" fillId="0" borderId="10" xfId="700" applyFont="1" applyBorder="1" applyAlignment="1" applyProtection="1">
      <alignment horizontal="center" wrapText="1"/>
      <protection hidden="1"/>
    </xf>
    <xf numFmtId="43" fontId="170" fillId="49" borderId="41" xfId="698" applyFont="1" applyFill="1" applyBorder="1" applyAlignment="1" applyProtection="1">
      <alignment horizontal="center" wrapText="1"/>
      <protection hidden="1"/>
    </xf>
    <xf numFmtId="43" fontId="170" fillId="49" borderId="82" xfId="698" applyFont="1" applyFill="1" applyBorder="1" applyAlignment="1" applyProtection="1">
      <alignment horizontal="center" wrapText="1"/>
      <protection hidden="1"/>
    </xf>
    <xf numFmtId="0" fontId="168" fillId="50" borderId="3" xfId="698" applyNumberFormat="1" applyFont="1" applyFill="1" applyBorder="1" applyAlignment="1" applyProtection="1">
      <alignment horizontal="center"/>
      <protection locked="0"/>
    </xf>
    <xf numFmtId="0" fontId="168" fillId="50" borderId="4" xfId="698" applyNumberFormat="1" applyFont="1" applyFill="1" applyBorder="1" applyAlignment="1" applyProtection="1">
      <alignment horizontal="center"/>
      <protection locked="0"/>
    </xf>
    <xf numFmtId="0" fontId="168" fillId="50" borderId="81" xfId="698" applyNumberFormat="1" applyFont="1" applyFill="1" applyBorder="1" applyAlignment="1" applyProtection="1">
      <alignment horizontal="center"/>
      <protection locked="0"/>
    </xf>
    <xf numFmtId="0" fontId="169" fillId="49" borderId="72" xfId="698" applyNumberFormat="1" applyFont="1" applyFill="1" applyBorder="1" applyAlignment="1" applyProtection="1">
      <alignment horizontal="center"/>
      <protection hidden="1"/>
    </xf>
    <xf numFmtId="0" fontId="169" fillId="49" borderId="11" xfId="698" applyNumberFormat="1" applyFont="1" applyFill="1" applyBorder="1" applyAlignment="1" applyProtection="1">
      <alignment horizontal="center"/>
      <protection hidden="1"/>
    </xf>
    <xf numFmtId="0" fontId="169" fillId="48" borderId="11" xfId="569" applyFont="1" applyFill="1" applyBorder="1" applyAlignment="1" applyProtection="1">
      <alignment horizontal="center"/>
      <protection locked="0"/>
    </xf>
    <xf numFmtId="14" fontId="168" fillId="48" borderId="11" xfId="700" applyNumberFormat="1" applyFont="1" applyFill="1" applyBorder="1" applyAlignment="1" applyProtection="1">
      <alignment horizontal="center"/>
      <protection locked="0"/>
    </xf>
    <xf numFmtId="168" fontId="169" fillId="48" borderId="11" xfId="700" applyNumberFormat="1" applyFont="1" applyFill="1" applyBorder="1" applyAlignment="1" applyProtection="1">
      <alignment horizontal="center"/>
      <protection locked="0"/>
    </xf>
    <xf numFmtId="9" fontId="169" fillId="48" borderId="11" xfId="1022" applyFont="1" applyFill="1" applyBorder="1" applyAlignment="1" applyProtection="1">
      <alignment horizontal="center"/>
      <protection locked="0"/>
    </xf>
    <xf numFmtId="44" fontId="168" fillId="48" borderId="11" xfId="700" applyFont="1" applyFill="1" applyBorder="1" applyAlignment="1" applyProtection="1">
      <alignment horizontal="center"/>
      <protection locked="0"/>
    </xf>
    <xf numFmtId="0" fontId="167" fillId="47" borderId="65" xfId="8736" applyFont="1" applyFill="1" applyBorder="1" applyAlignment="1">
      <alignment horizontal="center"/>
    </xf>
    <xf numFmtId="0" fontId="167" fillId="47" borderId="29" xfId="8736" applyFont="1" applyFill="1" applyBorder="1" applyAlignment="1">
      <alignment horizontal="center"/>
    </xf>
    <xf numFmtId="0" fontId="167" fillId="47" borderId="31" xfId="8736" applyFont="1" applyFill="1" applyBorder="1" applyAlignment="1">
      <alignment horizontal="center"/>
    </xf>
    <xf numFmtId="0" fontId="3" fillId="47" borderId="66" xfId="8736" applyFill="1" applyBorder="1" applyAlignment="1">
      <alignment horizontal="center"/>
    </xf>
    <xf numFmtId="0" fontId="3" fillId="47" borderId="0" xfId="8736" applyFill="1" applyAlignment="1">
      <alignment horizontal="center"/>
    </xf>
    <xf numFmtId="0" fontId="3" fillId="47" borderId="41" xfId="8736" applyFill="1" applyBorder="1" applyAlignment="1">
      <alignment horizontal="center"/>
    </xf>
    <xf numFmtId="0" fontId="166" fillId="47" borderId="66" xfId="8736" applyFont="1" applyFill="1" applyBorder="1" applyAlignment="1">
      <alignment horizontal="center"/>
    </xf>
    <xf numFmtId="0" fontId="166" fillId="47" borderId="0" xfId="8736" applyFont="1" applyFill="1" applyAlignment="1">
      <alignment horizontal="center"/>
    </xf>
    <xf numFmtId="0" fontId="166" fillId="47" borderId="41" xfId="8736" applyFont="1" applyFill="1" applyBorder="1" applyAlignment="1">
      <alignment horizontal="center"/>
    </xf>
    <xf numFmtId="0" fontId="103" fillId="47" borderId="66" xfId="8736" applyFont="1" applyFill="1" applyBorder="1" applyAlignment="1">
      <alignment horizontal="center"/>
    </xf>
    <xf numFmtId="0" fontId="103" fillId="47" borderId="41" xfId="8736" applyFont="1" applyFill="1" applyBorder="1" applyAlignment="1">
      <alignment horizontal="center"/>
    </xf>
    <xf numFmtId="0" fontId="103" fillId="47" borderId="0" xfId="8736" applyFont="1" applyFill="1" applyAlignment="1">
      <alignment horizontal="left"/>
    </xf>
    <xf numFmtId="43" fontId="166" fillId="49" borderId="72" xfId="698" applyFont="1" applyFill="1" applyBorder="1" applyAlignment="1" applyProtection="1">
      <alignment horizontal="right"/>
      <protection hidden="1"/>
    </xf>
    <xf numFmtId="43" fontId="166" fillId="49" borderId="11" xfId="698" applyFont="1" applyFill="1" applyBorder="1" applyAlignment="1" applyProtection="1">
      <alignment horizontal="right"/>
      <protection hidden="1"/>
    </xf>
    <xf numFmtId="44" fontId="166" fillId="0" borderId="11" xfId="700" applyFont="1" applyBorder="1" applyAlignment="1" applyProtection="1">
      <alignment horizontal="center"/>
      <protection hidden="1"/>
    </xf>
    <xf numFmtId="168" fontId="166" fillId="0" borderId="11" xfId="700" applyNumberFormat="1" applyFont="1" applyBorder="1" applyAlignment="1" applyProtection="1">
      <alignment horizontal="center"/>
      <protection hidden="1"/>
    </xf>
    <xf numFmtId="9" fontId="166" fillId="0" borderId="11" xfId="1022" applyFont="1" applyBorder="1" applyAlignment="1" applyProtection="1">
      <alignment horizontal="center"/>
      <protection hidden="1"/>
    </xf>
    <xf numFmtId="43" fontId="166" fillId="49" borderId="3" xfId="698" applyFont="1" applyFill="1" applyBorder="1" applyAlignment="1" applyProtection="1">
      <alignment horizontal="center"/>
      <protection hidden="1"/>
    </xf>
    <xf numFmtId="43" fontId="166" fillId="49" borderId="4" xfId="698" applyFont="1" applyFill="1" applyBorder="1" applyAlignment="1" applyProtection="1">
      <alignment horizontal="center"/>
      <protection hidden="1"/>
    </xf>
    <xf numFmtId="43" fontId="166" fillId="49" borderId="81" xfId="698" applyFont="1" applyFill="1" applyBorder="1" applyAlignment="1" applyProtection="1">
      <alignment horizontal="center"/>
      <protection hidden="1"/>
    </xf>
    <xf numFmtId="0" fontId="103" fillId="44" borderId="0" xfId="8736" applyFont="1" applyFill="1" applyAlignment="1">
      <alignment horizontal="left"/>
    </xf>
    <xf numFmtId="0" fontId="3" fillId="48" borderId="80" xfId="8736" applyFill="1" applyBorder="1" applyAlignment="1" applyProtection="1">
      <alignment horizontal="left"/>
      <protection locked="0"/>
    </xf>
    <xf numFmtId="0" fontId="3" fillId="48" borderId="79" xfId="8736" applyFill="1" applyBorder="1" applyAlignment="1" applyProtection="1">
      <alignment horizontal="left"/>
      <protection locked="0"/>
    </xf>
    <xf numFmtId="0" fontId="3" fillId="48" borderId="78" xfId="8736" applyFill="1" applyBorder="1" applyAlignment="1" applyProtection="1">
      <alignment horizontal="left"/>
      <protection locked="0"/>
    </xf>
    <xf numFmtId="0" fontId="165" fillId="44" borderId="0" xfId="8736" applyFont="1" applyFill="1" applyAlignment="1">
      <alignment horizontal="left" vertical="top"/>
    </xf>
    <xf numFmtId="0" fontId="103" fillId="44" borderId="0" xfId="8730" applyFont="1" applyFill="1" applyBorder="1" applyAlignment="1">
      <alignment horizontal="left" vertical="top"/>
    </xf>
    <xf numFmtId="14" fontId="3" fillId="48" borderId="80" xfId="8736" applyNumberFormat="1" applyFill="1" applyBorder="1" applyAlignment="1" applyProtection="1">
      <alignment horizontal="center"/>
      <protection locked="0"/>
    </xf>
    <xf numFmtId="14" fontId="3" fillId="48" borderId="79" xfId="8736" applyNumberFormat="1" applyFill="1" applyBorder="1" applyAlignment="1" applyProtection="1">
      <alignment horizontal="center"/>
      <protection locked="0"/>
    </xf>
    <xf numFmtId="14" fontId="3" fillId="48" borderId="78" xfId="8736" applyNumberFormat="1" applyFill="1" applyBorder="1" applyAlignment="1" applyProtection="1">
      <alignment horizontal="center"/>
      <protection locked="0"/>
    </xf>
    <xf numFmtId="0" fontId="166" fillId="47" borderId="0" xfId="8736" applyFont="1" applyFill="1" applyAlignment="1">
      <alignment horizontal="left" vertical="top" wrapText="1"/>
    </xf>
    <xf numFmtId="0" fontId="103" fillId="47" borderId="42" xfId="8736" applyFont="1" applyFill="1" applyBorder="1" applyAlignment="1">
      <alignment horizontal="center"/>
    </xf>
    <xf numFmtId="0" fontId="3" fillId="48" borderId="80" xfId="8736" applyFill="1" applyBorder="1" applyAlignment="1" applyProtection="1">
      <alignment horizontal="center"/>
      <protection locked="0"/>
    </xf>
    <xf numFmtId="0" fontId="3" fillId="48" borderId="79" xfId="8736" applyFill="1" applyBorder="1" applyAlignment="1" applyProtection="1">
      <alignment horizontal="center"/>
      <protection locked="0"/>
    </xf>
    <xf numFmtId="0" fontId="3" fillId="48" borderId="78" xfId="8736" applyFill="1" applyBorder="1" applyAlignment="1" applyProtection="1">
      <alignment horizontal="center"/>
      <protection locked="0"/>
    </xf>
    <xf numFmtId="0" fontId="0" fillId="5" borderId="4" xfId="0" applyFill="1" applyBorder="1" applyAlignment="1" applyProtection="1">
      <alignment horizontal="left" wrapText="1"/>
      <protection locked="0"/>
    </xf>
    <xf numFmtId="0" fontId="0" fillId="5" borderId="6" xfId="0" applyFill="1" applyBorder="1" applyAlignment="1" applyProtection="1">
      <alignment horizontal="left" wrapText="1"/>
      <protection locked="0"/>
    </xf>
    <xf numFmtId="0" fontId="19" fillId="5" borderId="4" xfId="0" applyFont="1" applyFill="1" applyBorder="1" applyAlignment="1" applyProtection="1">
      <alignment horizontal="left" wrapText="1"/>
      <protection locked="0"/>
    </xf>
    <xf numFmtId="0" fontId="27" fillId="0" borderId="0" xfId="4495" applyFont="1" applyAlignment="1">
      <alignment horizontal="left" vertical="top" wrapText="1"/>
    </xf>
    <xf numFmtId="0" fontId="123" fillId="5" borderId="6" xfId="4496" applyFont="1" applyFill="1" applyBorder="1" applyAlignment="1" applyProtection="1">
      <alignment horizontal="center"/>
      <protection locked="0"/>
    </xf>
    <xf numFmtId="0" fontId="19" fillId="0" borderId="50" xfId="4495" applyFont="1" applyBorder="1" applyAlignment="1">
      <alignment vertical="center" wrapText="1"/>
    </xf>
    <xf numFmtId="0" fontId="19" fillId="0" borderId="51" xfId="4495" applyFont="1" applyBorder="1" applyAlignment="1">
      <alignment vertical="center" wrapText="1"/>
    </xf>
    <xf numFmtId="0" fontId="19" fillId="0" borderId="52" xfId="4495" applyFont="1" applyBorder="1" applyAlignment="1">
      <alignment vertical="center" wrapText="1"/>
    </xf>
    <xf numFmtId="0" fontId="19" fillId="0" borderId="57" xfId="4495" applyFont="1" applyBorder="1" applyAlignment="1">
      <alignment vertical="center" wrapText="1"/>
    </xf>
    <xf numFmtId="0" fontId="19" fillId="0" borderId="58" xfId="4495" applyFont="1" applyBorder="1" applyAlignment="1">
      <alignment vertical="center" wrapText="1"/>
    </xf>
    <xf numFmtId="0" fontId="19" fillId="0" borderId="59" xfId="4495" applyFont="1" applyBorder="1" applyAlignment="1">
      <alignment vertical="center" wrapText="1"/>
    </xf>
    <xf numFmtId="0" fontId="19" fillId="0" borderId="47" xfId="4495" applyFont="1" applyBorder="1" applyAlignment="1">
      <alignment horizontal="left" vertical="center" wrapText="1"/>
    </xf>
    <xf numFmtId="0" fontId="19" fillId="0" borderId="48" xfId="4495" applyFont="1" applyBorder="1" applyAlignment="1">
      <alignment horizontal="left" vertical="center" wrapText="1"/>
    </xf>
    <xf numFmtId="0" fontId="19" fillId="0" borderId="49" xfId="4495" applyFont="1" applyBorder="1" applyAlignment="1">
      <alignment horizontal="left" vertical="center" wrapText="1"/>
    </xf>
    <xf numFmtId="0" fontId="123" fillId="0" borderId="50" xfId="4496" applyFont="1" applyBorder="1" applyAlignment="1">
      <alignment horizontal="left" vertical="top" wrapText="1"/>
    </xf>
    <xf numFmtId="0" fontId="123" fillId="0" borderId="51" xfId="4496" applyFont="1" applyBorder="1" applyAlignment="1">
      <alignment horizontal="left" vertical="top" wrapText="1"/>
    </xf>
    <xf numFmtId="0" fontId="123" fillId="0" borderId="52" xfId="4496" applyFont="1" applyBorder="1" applyAlignment="1">
      <alignment horizontal="left" vertical="top" wrapText="1"/>
    </xf>
    <xf numFmtId="0" fontId="123" fillId="0" borderId="57" xfId="4496" applyFont="1" applyBorder="1" applyAlignment="1">
      <alignment horizontal="left" vertical="top" wrapText="1"/>
    </xf>
    <xf numFmtId="0" fontId="123" fillId="0" borderId="58" xfId="4496" applyFont="1" applyBorder="1" applyAlignment="1">
      <alignment horizontal="left" vertical="top" wrapText="1"/>
    </xf>
    <xf numFmtId="0" fontId="123" fillId="0" borderId="59" xfId="4496" applyFont="1" applyBorder="1" applyAlignment="1">
      <alignment horizontal="left" vertical="top" wrapText="1"/>
    </xf>
    <xf numFmtId="0" fontId="19" fillId="0" borderId="50" xfId="4495" applyFont="1" applyBorder="1" applyAlignment="1">
      <alignment horizontal="left" vertical="center" wrapText="1"/>
    </xf>
    <xf numFmtId="0" fontId="19" fillId="0" borderId="51" xfId="4495" applyFont="1" applyBorder="1" applyAlignment="1">
      <alignment horizontal="left" vertical="center" wrapText="1"/>
    </xf>
    <xf numFmtId="0" fontId="19" fillId="0" borderId="52" xfId="4495" applyFont="1" applyBorder="1" applyAlignment="1">
      <alignment horizontal="left" vertical="center" wrapText="1"/>
    </xf>
    <xf numFmtId="0" fontId="19" fillId="0" borderId="57" xfId="4495" applyFont="1" applyBorder="1" applyAlignment="1">
      <alignment horizontal="left" vertical="center" wrapText="1"/>
    </xf>
    <xf numFmtId="0" fontId="19" fillId="0" borderId="58" xfId="4495" applyFont="1" applyBorder="1" applyAlignment="1">
      <alignment horizontal="left" vertical="center" wrapText="1"/>
    </xf>
    <xf numFmtId="0" fontId="19" fillId="0" borderId="59" xfId="4495" applyFont="1" applyBorder="1" applyAlignment="1">
      <alignment horizontal="left" vertical="center" wrapText="1"/>
    </xf>
    <xf numFmtId="165" fontId="123" fillId="0" borderId="55" xfId="4496" applyNumberFormat="1" applyFont="1" applyBorder="1" applyAlignment="1">
      <alignment horizontal="center" vertical="top" wrapText="1"/>
    </xf>
    <xf numFmtId="165" fontId="123" fillId="0" borderId="6" xfId="4496" applyNumberFormat="1" applyFont="1" applyBorder="1" applyAlignment="1">
      <alignment horizontal="center" vertical="top" wrapText="1"/>
    </xf>
    <xf numFmtId="165" fontId="123" fillId="0" borderId="60" xfId="4496" applyNumberFormat="1" applyFont="1" applyBorder="1" applyAlignment="1">
      <alignment horizontal="center" vertical="top" wrapText="1"/>
    </xf>
    <xf numFmtId="165" fontId="123" fillId="0" borderId="4" xfId="4496" applyNumberFormat="1" applyFont="1" applyBorder="1" applyAlignment="1">
      <alignment horizontal="center" vertical="top" wrapText="1"/>
    </xf>
    <xf numFmtId="0" fontId="123" fillId="5" borderId="60" xfId="4496" applyFont="1" applyFill="1" applyBorder="1" applyAlignment="1" applyProtection="1">
      <alignment horizontal="center"/>
      <protection locked="0"/>
    </xf>
    <xf numFmtId="0" fontId="123" fillId="5" borderId="4" xfId="4496" applyFont="1" applyFill="1" applyBorder="1" applyAlignment="1" applyProtection="1">
      <alignment horizontal="center"/>
      <protection locked="0"/>
    </xf>
    <xf numFmtId="0" fontId="26" fillId="0" borderId="0" xfId="4495" applyFont="1" applyAlignment="1">
      <alignment horizontal="right"/>
    </xf>
    <xf numFmtId="0" fontId="123" fillId="0" borderId="53" xfId="4496" applyFont="1" applyBorder="1" applyAlignment="1">
      <alignment horizontal="left" vertical="top" wrapText="1"/>
    </xf>
    <xf numFmtId="0" fontId="123" fillId="0" borderId="0" xfId="4496" applyFont="1" applyAlignment="1">
      <alignment horizontal="left" vertical="top" wrapText="1"/>
    </xf>
    <xf numFmtId="0" fontId="123" fillId="0" borderId="54" xfId="4496" applyFont="1" applyBorder="1" applyAlignment="1">
      <alignment horizontal="left" vertical="top" wrapText="1"/>
    </xf>
    <xf numFmtId="0" fontId="123" fillId="5" borderId="55" xfId="4496" applyFont="1" applyFill="1" applyBorder="1" applyAlignment="1" applyProtection="1">
      <alignment horizontal="center"/>
      <protection locked="0"/>
    </xf>
    <xf numFmtId="168" fontId="123" fillId="0" borderId="55" xfId="4496" applyNumberFormat="1" applyFont="1" applyBorder="1" applyAlignment="1">
      <alignment horizontal="center" vertical="top"/>
    </xf>
    <xf numFmtId="168" fontId="123" fillId="0" borderId="6" xfId="4496" applyNumberFormat="1" applyFont="1" applyBorder="1" applyAlignment="1">
      <alignment horizontal="center" vertical="top"/>
    </xf>
    <xf numFmtId="0" fontId="25" fillId="3" borderId="2" xfId="4495" applyFont="1" applyFill="1" applyBorder="1" applyAlignment="1">
      <alignment horizontal="center" vertical="center"/>
    </xf>
    <xf numFmtId="0" fontId="25" fillId="3" borderId="16" xfId="4495" applyFont="1" applyFill="1" applyBorder="1" applyAlignment="1">
      <alignment horizontal="center" vertical="center"/>
    </xf>
    <xf numFmtId="0" fontId="26" fillId="0" borderId="48" xfId="4495" applyFont="1" applyBorder="1" applyAlignment="1">
      <alignment horizontal="left" vertical="top"/>
    </xf>
    <xf numFmtId="0" fontId="26" fillId="0" borderId="49" xfId="4495" applyFont="1" applyBorder="1" applyAlignment="1">
      <alignment horizontal="left" vertical="top"/>
    </xf>
    <xf numFmtId="1" fontId="19" fillId="0" borderId="3" xfId="4495" applyNumberFormat="1" applyFont="1" applyBorder="1" applyAlignment="1">
      <alignment horizontal="center"/>
    </xf>
    <xf numFmtId="1" fontId="19" fillId="0" borderId="4" xfId="4495" applyNumberFormat="1" applyFont="1" applyBorder="1" applyAlignment="1">
      <alignment horizontal="center"/>
    </xf>
    <xf numFmtId="1" fontId="19" fillId="0" borderId="5" xfId="4495" applyNumberFormat="1" applyFont="1" applyBorder="1" applyAlignment="1">
      <alignment horizontal="center"/>
    </xf>
    <xf numFmtId="0" fontId="19" fillId="0" borderId="53" xfId="4495" applyFont="1" applyBorder="1" applyAlignment="1">
      <alignment vertical="center" wrapText="1"/>
    </xf>
    <xf numFmtId="0" fontId="19" fillId="0" borderId="0" xfId="4495" applyFont="1" applyAlignment="1">
      <alignment vertical="center" wrapText="1"/>
    </xf>
    <xf numFmtId="0" fontId="19" fillId="0" borderId="54" xfId="4495" applyFont="1" applyBorder="1" applyAlignment="1">
      <alignment vertical="center" wrapText="1"/>
    </xf>
    <xf numFmtId="0" fontId="19" fillId="0" borderId="53" xfId="4495" applyFont="1" applyBorder="1" applyAlignment="1">
      <alignment horizontal="left" vertical="center" wrapText="1"/>
    </xf>
    <xf numFmtId="0" fontId="19" fillId="0" borderId="0" xfId="4495" applyFont="1" applyAlignment="1">
      <alignment horizontal="left" vertical="center" wrapText="1"/>
    </xf>
    <xf numFmtId="0" fontId="19" fillId="0" borderId="54" xfId="4495" applyFont="1" applyBorder="1" applyAlignment="1">
      <alignment horizontal="left" vertical="center" wrapText="1"/>
    </xf>
    <xf numFmtId="10" fontId="123" fillId="0" borderId="3" xfId="4496" applyNumberFormat="1" applyFont="1" applyBorder="1" applyAlignment="1">
      <alignment horizontal="center" vertical="top" wrapText="1"/>
    </xf>
    <xf numFmtId="10" fontId="123" fillId="0" borderId="4" xfId="4496" applyNumberFormat="1" applyFont="1" applyBorder="1" applyAlignment="1">
      <alignment horizontal="center" vertical="top" wrapText="1"/>
    </xf>
    <xf numFmtId="10" fontId="123" fillId="0" borderId="5" xfId="4496" applyNumberFormat="1" applyFont="1" applyBorder="1" applyAlignment="1">
      <alignment horizontal="center" vertical="top" wrapText="1"/>
    </xf>
    <xf numFmtId="0" fontId="123" fillId="0" borderId="55" xfId="4496" applyFont="1" applyBorder="1" applyAlignment="1">
      <alignment horizontal="center" vertical="top" wrapText="1"/>
    </xf>
    <xf numFmtId="0" fontId="123" fillId="0" borderId="6" xfId="4496" applyFont="1" applyBorder="1" applyAlignment="1">
      <alignment horizontal="center" vertical="top" wrapText="1"/>
    </xf>
    <xf numFmtId="168" fontId="19" fillId="0" borderId="0" xfId="1192" applyNumberFormat="1" applyAlignment="1">
      <alignment horizontal="right"/>
    </xf>
    <xf numFmtId="1" fontId="19" fillId="5" borderId="2" xfId="1192" applyNumberFormat="1" applyFill="1" applyBorder="1" applyAlignment="1" applyProtection="1">
      <alignment horizontal="center"/>
      <protection locked="0"/>
    </xf>
    <xf numFmtId="1" fontId="19" fillId="5" borderId="4" xfId="1192" applyNumberFormat="1" applyFill="1" applyBorder="1" applyAlignment="1" applyProtection="1">
      <alignment horizontal="center"/>
      <protection locked="0"/>
    </xf>
    <xf numFmtId="0" fontId="142" fillId="0" borderId="6" xfId="1192" applyFont="1" applyBorder="1" applyAlignment="1">
      <alignment horizontal="center"/>
    </xf>
    <xf numFmtId="1" fontId="123" fillId="0" borderId="55" xfId="4496" applyNumberFormat="1" applyFont="1" applyBorder="1" applyAlignment="1">
      <alignment horizontal="center" vertical="top" wrapText="1"/>
    </xf>
    <xf numFmtId="1" fontId="123" fillId="0" borderId="6" xfId="4496" applyNumberFormat="1" applyFont="1" applyBorder="1" applyAlignment="1">
      <alignment horizontal="center" vertical="top" wrapText="1"/>
    </xf>
    <xf numFmtId="168" fontId="123" fillId="43" borderId="55" xfId="4496" applyNumberFormat="1" applyFont="1" applyFill="1" applyBorder="1" applyAlignment="1" applyProtection="1">
      <alignment horizontal="center" vertical="top" wrapText="1"/>
      <protection locked="0"/>
    </xf>
    <xf numFmtId="168" fontId="123" fillId="43" borderId="6" xfId="4496" applyNumberFormat="1" applyFont="1" applyFill="1" applyBorder="1" applyAlignment="1" applyProtection="1">
      <alignment horizontal="center" vertical="top" wrapText="1"/>
      <protection locked="0"/>
    </xf>
    <xf numFmtId="0" fontId="26" fillId="0" borderId="0" xfId="4495" applyFont="1" applyAlignment="1">
      <alignment horizontal="center" vertical="top"/>
    </xf>
    <xf numFmtId="0" fontId="19" fillId="0" borderId="0" xfId="1192" applyAlignment="1">
      <alignment horizontal="right"/>
    </xf>
    <xf numFmtId="0" fontId="19" fillId="5" borderId="6" xfId="1192" applyFill="1" applyBorder="1" applyAlignment="1" applyProtection="1">
      <alignment horizontal="left"/>
      <protection locked="0"/>
    </xf>
    <xf numFmtId="168" fontId="19" fillId="43" borderId="6" xfId="4495" applyNumberFormat="1" applyFont="1" applyFill="1" applyBorder="1" applyAlignment="1" applyProtection="1">
      <alignment horizontal="right"/>
      <protection locked="0"/>
    </xf>
    <xf numFmtId="9" fontId="19" fillId="0" borderId="6" xfId="1192" applyNumberFormat="1" applyBorder="1" applyAlignment="1">
      <alignment horizontal="center"/>
    </xf>
    <xf numFmtId="9" fontId="19" fillId="0" borderId="6" xfId="1192" quotePrefix="1" applyNumberFormat="1" applyBorder="1" applyAlignment="1">
      <alignment horizontal="center"/>
    </xf>
    <xf numFmtId="9" fontId="19" fillId="0" borderId="0" xfId="1192" quotePrefix="1" applyNumberFormat="1" applyAlignment="1">
      <alignment horizontal="center"/>
    </xf>
    <xf numFmtId="9" fontId="19" fillId="5" borderId="4" xfId="1192" applyNumberFormat="1" applyFill="1" applyBorder="1" applyAlignment="1" applyProtection="1">
      <alignment horizontal="left"/>
      <protection locked="0"/>
    </xf>
    <xf numFmtId="0" fontId="27" fillId="5" borderId="6" xfId="4495" applyFont="1" applyFill="1" applyBorder="1" applyAlignment="1" applyProtection="1">
      <alignment horizontal="left"/>
      <protection locked="0"/>
    </xf>
    <xf numFmtId="0" fontId="19" fillId="0" borderId="0" xfId="4495" applyFont="1" applyAlignment="1">
      <alignment horizontal="left"/>
    </xf>
    <xf numFmtId="0" fontId="19" fillId="5" borderId="6" xfId="4495" applyFont="1" applyFill="1" applyBorder="1" applyAlignment="1" applyProtection="1">
      <alignment horizontal="left"/>
      <protection locked="0"/>
    </xf>
    <xf numFmtId="0" fontId="55" fillId="5" borderId="6" xfId="4495" applyFont="1" applyFill="1" applyBorder="1" applyAlignment="1" applyProtection="1">
      <alignment horizontal="left"/>
      <protection locked="0"/>
    </xf>
    <xf numFmtId="0" fontId="19" fillId="5" borderId="6" xfId="4495" applyFont="1" applyFill="1" applyBorder="1" applyAlignment="1" applyProtection="1">
      <alignment horizontal="center"/>
      <protection locked="0"/>
    </xf>
    <xf numFmtId="0" fontId="19" fillId="44" borderId="6" xfId="4495" applyFont="1" applyFill="1" applyBorder="1" applyAlignment="1">
      <alignment horizontal="left"/>
    </xf>
    <xf numFmtId="1" fontId="19" fillId="0" borderId="11" xfId="4495" applyNumberFormat="1" applyFont="1" applyBorder="1" applyAlignment="1">
      <alignment horizontal="center"/>
    </xf>
    <xf numFmtId="0" fontId="19" fillId="0" borderId="11" xfId="4495" applyFont="1" applyBorder="1" applyAlignment="1">
      <alignment horizontal="center"/>
    </xf>
    <xf numFmtId="0" fontId="19" fillId="0" borderId="53" xfId="4495" applyFont="1" applyBorder="1" applyAlignment="1">
      <alignment horizontal="left" vertical="top" wrapText="1"/>
    </xf>
    <xf numFmtId="0" fontId="19" fillId="0" borderId="0" xfId="4495" applyFont="1" applyAlignment="1">
      <alignment horizontal="left" vertical="top" wrapText="1"/>
    </xf>
    <xf numFmtId="0" fontId="19" fillId="0" borderId="54" xfId="4495" applyFont="1" applyBorder="1" applyAlignment="1">
      <alignment horizontal="left" vertical="top" wrapText="1"/>
    </xf>
    <xf numFmtId="0" fontId="19" fillId="0" borderId="57" xfId="4495" applyFont="1" applyBorder="1" applyAlignment="1">
      <alignment horizontal="left" vertical="top" wrapText="1"/>
    </xf>
    <xf numFmtId="0" fontId="19" fillId="0" borderId="58" xfId="4495" applyFont="1" applyBorder="1" applyAlignment="1">
      <alignment horizontal="left" vertical="top" wrapText="1"/>
    </xf>
    <xf numFmtId="0" fontId="19" fillId="0" borderId="59" xfId="4495" applyFont="1" applyBorder="1" applyAlignment="1">
      <alignment horizontal="left" vertical="top" wrapText="1"/>
    </xf>
    <xf numFmtId="0" fontId="121" fillId="5" borderId="6" xfId="4495" applyFill="1" applyBorder="1" applyAlignment="1" applyProtection="1">
      <alignment horizontal="center"/>
      <protection locked="0"/>
    </xf>
    <xf numFmtId="0" fontId="26" fillId="0" borderId="0" xfId="4495" applyFont="1" applyAlignment="1">
      <alignment horizontal="left" vertical="top"/>
    </xf>
    <xf numFmtId="0" fontId="121" fillId="0" borderId="0" xfId="4495" applyAlignment="1" applyProtection="1">
      <alignment horizontal="center"/>
      <protection locked="0"/>
    </xf>
    <xf numFmtId="0" fontId="19" fillId="0" borderId="3" xfId="4495" applyFont="1" applyBorder="1" applyAlignment="1">
      <alignment horizontal="center"/>
    </xf>
    <xf numFmtId="0" fontId="19" fillId="0" borderId="4" xfId="4495" applyFont="1" applyBorder="1" applyAlignment="1">
      <alignment horizontal="center"/>
    </xf>
    <xf numFmtId="0" fontId="19" fillId="0" borderId="5" xfId="4495" applyFont="1" applyBorder="1" applyAlignment="1">
      <alignment horizontal="center"/>
    </xf>
    <xf numFmtId="168" fontId="19" fillId="0" borderId="6" xfId="4496" applyNumberFormat="1" applyFont="1" applyBorder="1" applyAlignment="1">
      <alignment horizontal="center"/>
    </xf>
    <xf numFmtId="9" fontId="19" fillId="0" borderId="4" xfId="543" applyNumberFormat="1" applyBorder="1" applyAlignment="1">
      <alignment horizontal="center"/>
    </xf>
    <xf numFmtId="0" fontId="19" fillId="0" borderId="4" xfId="4496" applyFont="1" applyBorder="1" applyAlignment="1">
      <alignment horizontal="center"/>
    </xf>
    <xf numFmtId="0" fontId="19" fillId="0" borderId="5" xfId="4496" applyFont="1" applyBorder="1" applyAlignment="1">
      <alignment horizontal="center"/>
    </xf>
    <xf numFmtId="168" fontId="19" fillId="0" borderId="6" xfId="4495" applyNumberFormat="1" applyFont="1" applyBorder="1" applyAlignment="1">
      <alignment horizontal="right"/>
    </xf>
    <xf numFmtId="168" fontId="119" fillId="0" borderId="6" xfId="4495" applyNumberFormat="1" applyFont="1" applyBorder="1" applyAlignment="1">
      <alignment horizontal="right"/>
    </xf>
    <xf numFmtId="6" fontId="19" fillId="0" borderId="3" xfId="1192" applyNumberFormat="1" applyBorder="1" applyAlignment="1">
      <alignment horizontal="right"/>
    </xf>
    <xf numFmtId="6" fontId="19" fillId="0" borderId="4" xfId="1192" applyNumberFormat="1" applyBorder="1" applyAlignment="1">
      <alignment horizontal="right"/>
    </xf>
    <xf numFmtId="6" fontId="19" fillId="0" borderId="5" xfId="1192" applyNumberFormat="1" applyBorder="1" applyAlignment="1">
      <alignment horizontal="right"/>
    </xf>
    <xf numFmtId="168" fontId="19" fillId="0" borderId="4" xfId="4495" applyNumberFormat="1" applyFont="1" applyBorder="1" applyAlignment="1">
      <alignment horizontal="right"/>
    </xf>
    <xf numFmtId="165" fontId="19" fillId="43" borderId="3" xfId="4495" applyNumberFormat="1" applyFont="1" applyFill="1" applyBorder="1" applyAlignment="1" applyProtection="1">
      <alignment horizontal="center"/>
      <protection locked="0"/>
    </xf>
    <xf numFmtId="165" fontId="19" fillId="43" borderId="4" xfId="4495" applyNumberFormat="1" applyFont="1" applyFill="1" applyBorder="1" applyAlignment="1" applyProtection="1">
      <alignment horizontal="center"/>
      <protection locked="0"/>
    </xf>
    <xf numFmtId="165" fontId="19" fillId="43" borderId="5" xfId="4495" applyNumberFormat="1" applyFont="1" applyFill="1" applyBorder="1" applyAlignment="1" applyProtection="1">
      <alignment horizontal="center"/>
      <protection locked="0"/>
    </xf>
    <xf numFmtId="165" fontId="19" fillId="0" borderId="6" xfId="1192" applyNumberFormat="1" applyBorder="1" applyAlignment="1">
      <alignment horizontal="right"/>
    </xf>
    <xf numFmtId="168" fontId="19" fillId="0" borderId="2" xfId="1192" applyNumberFormat="1" applyBorder="1" applyAlignment="1">
      <alignment horizontal="right"/>
    </xf>
    <xf numFmtId="165" fontId="19" fillId="0" borderId="0" xfId="1192" applyNumberFormat="1" applyAlignment="1">
      <alignment horizontal="right"/>
    </xf>
    <xf numFmtId="0" fontId="19" fillId="0" borderId="50" xfId="4495" applyFont="1" applyBorder="1" applyAlignment="1">
      <alignment horizontal="left" vertical="top" wrapText="1"/>
    </xf>
    <xf numFmtId="0" fontId="19" fillId="0" borderId="51" xfId="4495" applyFont="1" applyBorder="1" applyAlignment="1">
      <alignment horizontal="left" vertical="top" wrapText="1"/>
    </xf>
    <xf numFmtId="0" fontId="19" fillId="0" borderId="52" xfId="4495" applyFont="1" applyBorder="1" applyAlignment="1">
      <alignment horizontal="left" vertical="top" wrapText="1"/>
    </xf>
    <xf numFmtId="0" fontId="26" fillId="0" borderId="0" xfId="4495" applyFont="1"/>
    <xf numFmtId="168" fontId="19" fillId="5" borderId="4" xfId="1192" applyNumberFormat="1" applyFill="1" applyBorder="1" applyAlignment="1" applyProtection="1">
      <alignment horizontal="center"/>
      <protection locked="0"/>
    </xf>
    <xf numFmtId="0" fontId="19" fillId="0" borderId="6" xfId="1192" applyBorder="1" applyAlignment="1">
      <alignment horizontal="left"/>
    </xf>
    <xf numFmtId="2" fontId="19" fillId="0" borderId="0" xfId="1192" applyNumberFormat="1" applyAlignment="1">
      <alignment horizontal="right"/>
    </xf>
    <xf numFmtId="0" fontId="19" fillId="43" borderId="53" xfId="4495" applyFont="1" applyFill="1" applyBorder="1" applyAlignment="1" applyProtection="1">
      <alignment vertical="top" wrapText="1"/>
      <protection locked="0"/>
    </xf>
    <xf numFmtId="0" fontId="19" fillId="43" borderId="0" xfId="4495" applyFont="1" applyFill="1" applyAlignment="1" applyProtection="1">
      <alignment vertical="top" wrapText="1"/>
      <protection locked="0"/>
    </xf>
    <xf numFmtId="0" fontId="19" fillId="43" borderId="54" xfId="4495" applyFont="1" applyFill="1" applyBorder="1" applyAlignment="1" applyProtection="1">
      <alignment vertical="top" wrapText="1"/>
      <protection locked="0"/>
    </xf>
    <xf numFmtId="0" fontId="19" fillId="43" borderId="55" xfId="4495" applyFont="1" applyFill="1" applyBorder="1" applyAlignment="1" applyProtection="1">
      <alignment vertical="top" wrapText="1"/>
      <protection locked="0"/>
    </xf>
    <xf numFmtId="0" fontId="19" fillId="43" borderId="6" xfId="4495" applyFont="1" applyFill="1" applyBorder="1" applyAlignment="1" applyProtection="1">
      <alignment vertical="top" wrapText="1"/>
      <protection locked="0"/>
    </xf>
    <xf numFmtId="0" fontId="19" fillId="43" borderId="56" xfId="4495" applyFont="1" applyFill="1" applyBorder="1" applyAlignment="1" applyProtection="1">
      <alignment vertical="top" wrapText="1"/>
      <protection locked="0"/>
    </xf>
    <xf numFmtId="0" fontId="19" fillId="43" borderId="0" xfId="4495" applyFont="1" applyFill="1" applyAlignment="1" applyProtection="1">
      <alignment horizontal="left" vertical="center" wrapText="1"/>
      <protection locked="0"/>
    </xf>
    <xf numFmtId="0" fontId="19" fillId="43" borderId="54" xfId="4495" applyFont="1" applyFill="1" applyBorder="1" applyAlignment="1" applyProtection="1">
      <alignment horizontal="left" vertical="center" wrapText="1"/>
      <protection locked="0"/>
    </xf>
    <xf numFmtId="0" fontId="19" fillId="43" borderId="6" xfId="4495" applyFont="1" applyFill="1" applyBorder="1" applyAlignment="1" applyProtection="1">
      <alignment horizontal="left" vertical="center" wrapText="1"/>
      <protection locked="0"/>
    </xf>
    <xf numFmtId="0" fontId="19" fillId="43" borderId="56" xfId="4495" applyFont="1" applyFill="1" applyBorder="1" applyAlignment="1" applyProtection="1">
      <alignment horizontal="left" vertical="center" wrapText="1"/>
      <protection locked="0"/>
    </xf>
    <xf numFmtId="0" fontId="130" fillId="0" borderId="0" xfId="4495" applyFont="1" applyAlignment="1">
      <alignment horizontal="left" vertical="top" wrapText="1"/>
    </xf>
    <xf numFmtId="0" fontId="121" fillId="5" borderId="55" xfId="4495" applyFill="1" applyBorder="1" applyAlignment="1" applyProtection="1">
      <alignment horizontal="center"/>
      <protection locked="0"/>
    </xf>
    <xf numFmtId="0" fontId="26" fillId="0" borderId="0" xfId="4495" applyFont="1" applyAlignment="1">
      <alignment horizontal="center"/>
    </xf>
    <xf numFmtId="0" fontId="26" fillId="0" borderId="54" xfId="4495" applyFont="1" applyBorder="1" applyAlignment="1">
      <alignment horizontal="center"/>
    </xf>
    <xf numFmtId="0" fontId="27" fillId="0" borderId="51" xfId="4495" applyFont="1" applyBorder="1" applyAlignment="1">
      <alignment horizontal="left" vertical="top" wrapText="1"/>
    </xf>
    <xf numFmtId="0" fontId="26" fillId="0" borderId="54" xfId="4495" applyFont="1" applyBorder="1" applyAlignment="1">
      <alignment horizontal="center" vertical="top"/>
    </xf>
    <xf numFmtId="0" fontId="121" fillId="5" borderId="62" xfId="4495" applyFill="1" applyBorder="1" applyAlignment="1" applyProtection="1">
      <alignment horizontal="center"/>
      <protection locked="0"/>
    </xf>
    <xf numFmtId="0" fontId="121" fillId="5" borderId="63" xfId="4495" applyFill="1" applyBorder="1" applyAlignment="1" applyProtection="1">
      <alignment horizontal="center"/>
      <protection locked="0"/>
    </xf>
    <xf numFmtId="0" fontId="121" fillId="5" borderId="50" xfId="4495" applyFill="1" applyBorder="1" applyAlignment="1">
      <alignment horizontal="center"/>
    </xf>
    <xf numFmtId="0" fontId="121" fillId="5" borderId="51" xfId="4495" applyFill="1" applyBorder="1" applyAlignment="1">
      <alignment horizontal="center"/>
    </xf>
    <xf numFmtId="0" fontId="55" fillId="0" borderId="51" xfId="4495" applyFont="1" applyBorder="1" applyAlignment="1">
      <alignment horizontal="left" wrapText="1"/>
    </xf>
    <xf numFmtId="0" fontId="55" fillId="0" borderId="0" xfId="4495" applyFont="1" applyAlignment="1">
      <alignment horizontal="left" wrapText="1"/>
    </xf>
    <xf numFmtId="0" fontId="123" fillId="0" borderId="50" xfId="4496" applyFont="1" applyBorder="1" applyAlignment="1">
      <alignment horizontal="left" wrapText="1"/>
    </xf>
    <xf numFmtId="0" fontId="123" fillId="0" borderId="51" xfId="4496" applyFont="1" applyBorder="1" applyAlignment="1">
      <alignment horizontal="left" wrapText="1"/>
    </xf>
    <xf numFmtId="0" fontId="123" fillId="0" borderId="52" xfId="4496" applyFont="1" applyBorder="1" applyAlignment="1">
      <alignment horizontal="left" wrapText="1"/>
    </xf>
    <xf numFmtId="0" fontId="123" fillId="0" borderId="57" xfId="4496" applyFont="1" applyBorder="1" applyAlignment="1">
      <alignment horizontal="left" wrapText="1"/>
    </xf>
    <xf numFmtId="0" fontId="123" fillId="0" borderId="58" xfId="4496" applyFont="1" applyBorder="1" applyAlignment="1">
      <alignment horizontal="left" wrapText="1"/>
    </xf>
    <xf numFmtId="0" fontId="123" fillId="0" borderId="59" xfId="4496" applyFont="1" applyBorder="1" applyAlignment="1">
      <alignment horizontal="left" wrapText="1"/>
    </xf>
    <xf numFmtId="0" fontId="19" fillId="0" borderId="0" xfId="4495" applyFont="1" applyAlignment="1">
      <alignment horizontal="left" vertical="center" wrapText="1" shrinkToFit="1"/>
    </xf>
    <xf numFmtId="0" fontId="19" fillId="5" borderId="6" xfId="4495" applyFont="1" applyFill="1" applyBorder="1" applyAlignment="1" applyProtection="1">
      <alignment horizontal="center" vertical="center" wrapText="1" shrinkToFit="1"/>
      <protection locked="0"/>
    </xf>
    <xf numFmtId="0" fontId="19" fillId="5" borderId="6" xfId="4495" applyFont="1" applyFill="1" applyBorder="1" applyAlignment="1" applyProtection="1">
      <alignment horizontal="left" wrapText="1" shrinkToFit="1"/>
      <protection locked="0"/>
    </xf>
    <xf numFmtId="0" fontId="19" fillId="43" borderId="6" xfId="1192" applyFill="1" applyBorder="1" applyAlignment="1" applyProtection="1">
      <alignment horizontal="left" vertical="top"/>
      <protection locked="0"/>
    </xf>
    <xf numFmtId="0" fontId="157" fillId="0" borderId="0" xfId="0" applyFont="1" applyAlignment="1" applyProtection="1">
      <alignment horizontal="left"/>
      <protection locked="0"/>
    </xf>
    <xf numFmtId="168" fontId="156" fillId="0" borderId="0" xfId="0" applyNumberFormat="1" applyFont="1" applyAlignment="1">
      <alignment horizontal="center" vertical="top" wrapText="1"/>
    </xf>
    <xf numFmtId="168" fontId="156" fillId="0" borderId="12" xfId="0" applyNumberFormat="1" applyFont="1" applyBorder="1" applyAlignment="1">
      <alignment horizontal="center" vertical="top" wrapText="1"/>
    </xf>
    <xf numFmtId="0" fontId="27" fillId="0" borderId="0" xfId="4495" applyFont="1" applyAlignment="1">
      <alignment horizontal="center"/>
    </xf>
    <xf numFmtId="0" fontId="19" fillId="0" borderId="0" xfId="4495" applyFont="1" applyAlignment="1">
      <alignment wrapText="1"/>
    </xf>
    <xf numFmtId="0" fontId="19" fillId="0" borderId="0" xfId="4495" applyFont="1" applyAlignment="1">
      <alignment horizontal="left" vertical="top" wrapText="1" shrinkToFit="1"/>
    </xf>
    <xf numFmtId="44" fontId="19" fillId="0" borderId="0" xfId="707" applyFont="1" applyFill="1" applyBorder="1" applyAlignment="1" applyProtection="1">
      <alignment horizontal="left" vertical="top" wrapText="1"/>
    </xf>
    <xf numFmtId="0" fontId="26" fillId="0" borderId="0" xfId="4495" applyFont="1" applyAlignment="1">
      <alignment horizontal="left" vertical="top" wrapText="1"/>
    </xf>
    <xf numFmtId="0" fontId="19" fillId="45" borderId="11" xfId="4495" applyFont="1" applyFill="1" applyBorder="1" applyAlignment="1">
      <alignment horizontal="center"/>
    </xf>
    <xf numFmtId="0" fontId="130" fillId="0" borderId="0" xfId="4495" applyFont="1" applyAlignment="1">
      <alignment horizontal="left" vertical="center" wrapText="1"/>
    </xf>
    <xf numFmtId="0" fontId="26" fillId="0" borderId="11" xfId="4495" applyFont="1" applyBorder="1" applyAlignment="1">
      <alignment horizontal="center"/>
    </xf>
    <xf numFmtId="0" fontId="27" fillId="0" borderId="58" xfId="4495" applyFont="1" applyBorder="1" applyAlignment="1">
      <alignment horizontal="left" vertical="top" wrapText="1"/>
    </xf>
    <xf numFmtId="0" fontId="26" fillId="0" borderId="4" xfId="4495" applyFont="1" applyBorder="1" applyAlignment="1">
      <alignment horizontal="left"/>
    </xf>
    <xf numFmtId="0" fontId="26" fillId="0" borderId="5" xfId="4495" applyFont="1" applyBorder="1" applyAlignment="1">
      <alignment horizontal="left"/>
    </xf>
    <xf numFmtId="1" fontId="26" fillId="0" borderId="4" xfId="4495" applyNumberFormat="1" applyFont="1" applyBorder="1" applyAlignment="1">
      <alignment horizontal="center" wrapText="1"/>
    </xf>
    <xf numFmtId="0" fontId="26" fillId="0" borderId="4" xfId="4495" applyFont="1" applyBorder="1" applyAlignment="1">
      <alignment horizontal="center" wrapText="1"/>
    </xf>
    <xf numFmtId="0" fontId="26" fillId="0" borderId="5" xfId="4495" applyFont="1" applyBorder="1" applyAlignment="1">
      <alignment horizontal="center" wrapText="1"/>
    </xf>
    <xf numFmtId="0" fontId="26" fillId="0" borderId="3" xfId="4495" applyFont="1" applyBorder="1" applyAlignment="1">
      <alignment horizontal="center" wrapText="1"/>
    </xf>
    <xf numFmtId="0" fontId="19" fillId="0" borderId="50" xfId="4496" applyFont="1" applyBorder="1" applyAlignment="1">
      <alignment horizontal="left" wrapText="1"/>
    </xf>
    <xf numFmtId="0" fontId="19" fillId="0" borderId="51" xfId="4496" applyFont="1" applyBorder="1" applyAlignment="1">
      <alignment horizontal="left" wrapText="1"/>
    </xf>
    <xf numFmtId="0" fontId="19" fillId="0" borderId="52" xfId="4496" applyFont="1" applyBorder="1" applyAlignment="1">
      <alignment horizontal="left" wrapText="1"/>
    </xf>
    <xf numFmtId="0" fontId="19" fillId="0" borderId="53" xfId="4496" applyFont="1" applyBorder="1" applyAlignment="1">
      <alignment horizontal="left" wrapText="1"/>
    </xf>
    <xf numFmtId="0" fontId="19" fillId="0" borderId="0" xfId="4496" applyFont="1" applyAlignment="1">
      <alignment horizontal="left" wrapText="1"/>
    </xf>
    <xf numFmtId="0" fontId="19" fillId="0" borderId="54" xfId="4496" applyFont="1" applyBorder="1" applyAlignment="1">
      <alignment horizontal="left" wrapText="1"/>
    </xf>
    <xf numFmtId="0" fontId="19" fillId="0" borderId="57" xfId="4496" applyFont="1" applyBorder="1" applyAlignment="1">
      <alignment horizontal="left" wrapText="1"/>
    </xf>
    <xf numFmtId="0" fontId="19" fillId="0" borderId="58" xfId="4496" applyFont="1" applyBorder="1" applyAlignment="1">
      <alignment horizontal="left" wrapText="1"/>
    </xf>
    <xf numFmtId="0" fontId="19" fillId="0" borderId="59" xfId="4496" applyFont="1" applyBorder="1" applyAlignment="1">
      <alignment horizontal="left" wrapText="1"/>
    </xf>
    <xf numFmtId="1" fontId="19" fillId="0" borderId="4" xfId="4496" applyNumberFormat="1" applyFont="1" applyBorder="1" applyAlignment="1">
      <alignment horizontal="center"/>
    </xf>
    <xf numFmtId="1" fontId="19" fillId="0" borderId="5" xfId="4496" applyNumberFormat="1" applyFont="1" applyBorder="1" applyAlignment="1">
      <alignment horizontal="center"/>
    </xf>
    <xf numFmtId="49" fontId="25" fillId="3" borderId="2" xfId="4495" applyNumberFormat="1" applyFont="1" applyFill="1" applyBorder="1" applyAlignment="1">
      <alignment horizontal="center" vertical="center" wrapText="1"/>
    </xf>
    <xf numFmtId="49" fontId="25" fillId="3" borderId="2" xfId="4495" applyNumberFormat="1" applyFont="1" applyFill="1" applyBorder="1" applyAlignment="1">
      <alignment horizontal="center" vertical="center"/>
    </xf>
    <xf numFmtId="49" fontId="25" fillId="3" borderId="0" xfId="4495" applyNumberFormat="1" applyFont="1" applyFill="1" applyAlignment="1">
      <alignment horizontal="center" vertical="center"/>
    </xf>
    <xf numFmtId="0" fontId="26" fillId="0" borderId="1" xfId="4495" applyFont="1" applyBorder="1" applyAlignment="1">
      <alignment horizontal="center" wrapText="1"/>
    </xf>
    <xf numFmtId="0" fontId="26" fillId="0" borderId="2" xfId="4495" applyFont="1" applyBorder="1" applyAlignment="1">
      <alignment horizontal="center" wrapText="1"/>
    </xf>
    <xf numFmtId="0" fontId="26" fillId="0" borderId="7" xfId="4495" applyFont="1" applyBorder="1" applyAlignment="1">
      <alignment horizontal="center" wrapText="1"/>
    </xf>
    <xf numFmtId="0" fontId="26" fillId="0" borderId="9" xfId="4495" applyFont="1" applyBorder="1" applyAlignment="1">
      <alignment horizontal="center" wrapText="1"/>
    </xf>
    <xf numFmtId="0" fontId="26" fillId="0" borderId="6" xfId="4495" applyFont="1" applyBorder="1" applyAlignment="1">
      <alignment horizontal="center" wrapText="1"/>
    </xf>
    <xf numFmtId="0" fontId="26" fillId="0" borderId="10" xfId="4495" applyFont="1" applyBorder="1" applyAlignment="1">
      <alignment horizontal="center" wrapText="1"/>
    </xf>
    <xf numFmtId="1" fontId="26" fillId="0" borderId="11" xfId="4495" applyNumberFormat="1" applyFont="1" applyBorder="1" applyAlignment="1">
      <alignment horizontal="center"/>
    </xf>
    <xf numFmtId="0" fontId="19" fillId="0" borderId="4" xfId="4495" applyFont="1" applyBorder="1" applyAlignment="1">
      <alignment horizontal="left"/>
    </xf>
    <xf numFmtId="0" fontId="19" fillId="0" borderId="5" xfId="4495" applyFont="1" applyBorder="1" applyAlignment="1">
      <alignment horizontal="left"/>
    </xf>
    <xf numFmtId="1" fontId="19" fillId="46" borderId="11" xfId="4495" applyNumberFormat="1" applyFont="1" applyFill="1" applyBorder="1" applyAlignment="1">
      <alignment horizontal="center"/>
    </xf>
    <xf numFmtId="0" fontId="19" fillId="5" borderId="11" xfId="4495" applyFont="1" applyFill="1" applyBorder="1" applyAlignment="1" applyProtection="1">
      <alignment horizontal="center"/>
      <protection locked="0"/>
    </xf>
    <xf numFmtId="0" fontId="26" fillId="0" borderId="3" xfId="4495" applyFont="1" applyBorder="1" applyAlignment="1">
      <alignment horizontal="center"/>
    </xf>
    <xf numFmtId="0" fontId="26" fillId="0" borderId="4" xfId="4495" applyFont="1" applyBorder="1" applyAlignment="1">
      <alignment horizontal="center"/>
    </xf>
    <xf numFmtId="0" fontId="26" fillId="0" borderId="5" xfId="4495" applyFont="1" applyBorder="1" applyAlignment="1">
      <alignment horizontal="center"/>
    </xf>
    <xf numFmtId="164" fontId="66" fillId="0" borderId="1" xfId="4495" applyNumberFormat="1" applyFont="1" applyBorder="1" applyAlignment="1">
      <alignment horizontal="right" vertical="center"/>
    </xf>
    <xf numFmtId="164" fontId="66" fillId="0" borderId="2" xfId="4495" applyNumberFormat="1" applyFont="1" applyBorder="1" applyAlignment="1">
      <alignment horizontal="right" vertical="center"/>
    </xf>
    <xf numFmtId="164" fontId="66" fillId="0" borderId="7" xfId="4495" applyNumberFormat="1" applyFont="1" applyBorder="1" applyAlignment="1">
      <alignment horizontal="right" vertical="center"/>
    </xf>
    <xf numFmtId="164" fontId="66" fillId="0" borderId="9" xfId="4495" applyNumberFormat="1" applyFont="1" applyBorder="1" applyAlignment="1">
      <alignment horizontal="right" vertical="center"/>
    </xf>
    <xf numFmtId="164" fontId="66" fillId="0" borderId="6" xfId="4495" applyNumberFormat="1" applyFont="1" applyBorder="1" applyAlignment="1">
      <alignment horizontal="right" vertical="center"/>
    </xf>
    <xf numFmtId="164" fontId="66" fillId="0" borderId="10" xfId="4495" applyNumberFormat="1" applyFont="1" applyBorder="1" applyAlignment="1">
      <alignment horizontal="right" vertical="center"/>
    </xf>
    <xf numFmtId="180" fontId="66" fillId="0" borderId="1" xfId="4495" applyNumberFormat="1" applyFont="1" applyBorder="1" applyAlignment="1">
      <alignment horizontal="center" vertical="center"/>
    </xf>
    <xf numFmtId="180" fontId="66" fillId="0" borderId="2" xfId="4495" applyNumberFormat="1" applyFont="1" applyBorder="1" applyAlignment="1">
      <alignment horizontal="center" vertical="center"/>
    </xf>
    <xf numFmtId="180" fontId="66" fillId="0" borderId="7" xfId="4495" applyNumberFormat="1" applyFont="1" applyBorder="1" applyAlignment="1">
      <alignment horizontal="center" vertical="center"/>
    </xf>
    <xf numFmtId="180" fontId="66" fillId="0" borderId="9" xfId="4495" applyNumberFormat="1" applyFont="1" applyBorder="1" applyAlignment="1">
      <alignment horizontal="center" vertical="center"/>
    </xf>
    <xf numFmtId="180" fontId="66" fillId="0" borderId="6" xfId="4495" applyNumberFormat="1" applyFont="1" applyBorder="1" applyAlignment="1">
      <alignment horizontal="center" vertical="center"/>
    </xf>
    <xf numFmtId="180" fontId="66" fillId="0" borderId="10" xfId="4495" applyNumberFormat="1" applyFont="1" applyBorder="1" applyAlignment="1">
      <alignment horizontal="center" vertical="center"/>
    </xf>
    <xf numFmtId="0" fontId="121" fillId="0" borderId="53" xfId="4495" applyBorder="1" applyAlignment="1">
      <alignment horizontal="center"/>
    </xf>
    <xf numFmtId="0" fontId="121" fillId="0" borderId="0" xfId="4495" applyAlignment="1">
      <alignment horizontal="center"/>
    </xf>
    <xf numFmtId="0" fontId="27" fillId="5" borderId="0" xfId="4495" applyFont="1" applyFill="1" applyAlignment="1">
      <alignment horizontal="left" vertical="top"/>
    </xf>
    <xf numFmtId="0" fontId="121" fillId="5" borderId="53" xfId="4495" applyFill="1" applyBorder="1" applyAlignment="1">
      <alignment horizontal="center"/>
    </xf>
    <xf numFmtId="0" fontId="121" fillId="5" borderId="0" xfId="4495" applyFill="1" applyAlignment="1">
      <alignment horizontal="center"/>
    </xf>
    <xf numFmtId="0" fontId="121" fillId="5" borderId="55" xfId="4495" applyFill="1" applyBorder="1" applyAlignment="1">
      <alignment horizontal="center"/>
    </xf>
    <xf numFmtId="0" fontId="121" fillId="5" borderId="6" xfId="4495" applyFill="1" applyBorder="1" applyAlignment="1">
      <alignment horizontal="center"/>
    </xf>
    <xf numFmtId="0" fontId="27" fillId="5" borderId="0" xfId="4495" applyFont="1" applyFill="1" applyAlignment="1">
      <alignment horizontal="left" vertical="top" wrapText="1"/>
    </xf>
    <xf numFmtId="0" fontId="27" fillId="5" borderId="58" xfId="4495" applyFont="1" applyFill="1" applyBorder="1" applyAlignment="1">
      <alignment horizontal="left" vertical="top" wrapText="1"/>
    </xf>
    <xf numFmtId="0" fontId="26" fillId="0" borderId="51" xfId="4495" applyFont="1" applyBorder="1" applyAlignment="1">
      <alignment horizontal="center" vertical="top"/>
    </xf>
    <xf numFmtId="0" fontId="26" fillId="0" borderId="52" xfId="4495" applyFont="1" applyBorder="1" applyAlignment="1">
      <alignment horizontal="center" vertical="top"/>
    </xf>
    <xf numFmtId="168" fontId="19" fillId="43" borderId="6" xfId="543" applyNumberFormat="1" applyFill="1" applyBorder="1" applyAlignment="1" applyProtection="1">
      <alignment horizontal="center"/>
      <protection locked="0"/>
    </xf>
    <xf numFmtId="0" fontId="19" fillId="0" borderId="6" xfId="1192" applyBorder="1" applyAlignment="1">
      <alignment horizontal="right"/>
    </xf>
    <xf numFmtId="10" fontId="27" fillId="0" borderId="2" xfId="4495" applyNumberFormat="1" applyFont="1" applyBorder="1" applyAlignment="1">
      <alignment horizontal="center"/>
    </xf>
    <xf numFmtId="4" fontId="27" fillId="0" borderId="0" xfId="4495" applyNumberFormat="1" applyFont="1" applyAlignment="1">
      <alignment horizontal="center"/>
    </xf>
    <xf numFmtId="9" fontId="27" fillId="5" borderId="6" xfId="4495" applyNumberFormat="1" applyFont="1" applyFill="1" applyBorder="1" applyAlignment="1">
      <alignment horizontal="left"/>
    </xf>
    <xf numFmtId="0" fontId="35" fillId="42" borderId="2" xfId="4495" applyFont="1" applyFill="1" applyBorder="1" applyAlignment="1">
      <alignment horizontal="center"/>
    </xf>
    <xf numFmtId="0" fontId="35" fillId="42" borderId="6" xfId="4495" applyFont="1" applyFill="1" applyBorder="1" applyAlignment="1">
      <alignment horizontal="center"/>
    </xf>
    <xf numFmtId="168" fontId="19" fillId="0" borderId="4" xfId="4496" applyNumberFormat="1" applyFont="1" applyBorder="1" applyAlignment="1">
      <alignment horizontal="center"/>
    </xf>
    <xf numFmtId="9" fontId="19" fillId="0" borderId="4" xfId="4496" applyNumberFormat="1" applyFont="1" applyBorder="1" applyAlignment="1">
      <alignment horizontal="center"/>
    </xf>
    <xf numFmtId="168" fontId="19" fillId="0" borderId="6" xfId="1192" applyNumberFormat="1" applyBorder="1" applyAlignment="1">
      <alignment horizontal="right"/>
    </xf>
    <xf numFmtId="168" fontId="19" fillId="43" borderId="6" xfId="1192" applyNumberFormat="1" applyFill="1" applyBorder="1" applyAlignment="1" applyProtection="1">
      <alignment horizontal="right"/>
      <protection locked="0"/>
    </xf>
    <xf numFmtId="0" fontId="27" fillId="5" borderId="58" xfId="4495" applyFont="1" applyFill="1" applyBorder="1" applyAlignment="1">
      <alignment horizontal="left"/>
    </xf>
    <xf numFmtId="0" fontId="55" fillId="0" borderId="51" xfId="4495" applyFont="1" applyBorder="1" applyAlignment="1">
      <alignment horizontal="left" vertical="top" wrapText="1"/>
    </xf>
    <xf numFmtId="0" fontId="55" fillId="0" borderId="0" xfId="4495" applyFont="1" applyAlignment="1">
      <alignment horizontal="left" vertical="top" wrapText="1"/>
    </xf>
    <xf numFmtId="9" fontId="27" fillId="5" borderId="58" xfId="4495" applyNumberFormat="1" applyFont="1" applyFill="1" applyBorder="1" applyAlignment="1">
      <alignment horizontal="left"/>
    </xf>
    <xf numFmtId="0" fontId="27" fillId="5" borderId="6" xfId="4495" applyFont="1" applyFill="1" applyBorder="1" applyAlignment="1">
      <alignment horizontal="left"/>
    </xf>
    <xf numFmtId="4" fontId="27" fillId="0" borderId="3" xfId="4495" applyNumberFormat="1" applyFont="1" applyBorder="1" applyAlignment="1">
      <alignment horizontal="center"/>
    </xf>
    <xf numFmtId="4" fontId="27" fillId="0" borderId="4" xfId="4495" applyNumberFormat="1" applyFont="1" applyBorder="1" applyAlignment="1">
      <alignment horizontal="center"/>
    </xf>
    <xf numFmtId="4" fontId="27" fillId="0" borderId="5" xfId="4495" applyNumberFormat="1" applyFont="1" applyBorder="1" applyAlignment="1">
      <alignment horizontal="center"/>
    </xf>
    <xf numFmtId="165" fontId="123" fillId="0" borderId="3" xfId="4496" applyNumberFormat="1" applyFont="1" applyBorder="1" applyAlignment="1">
      <alignment horizontal="center" vertical="top" wrapText="1"/>
    </xf>
    <xf numFmtId="165" fontId="123" fillId="0" borderId="5" xfId="4496" applyNumberFormat="1" applyFont="1" applyBorder="1" applyAlignment="1">
      <alignment horizontal="center" vertical="top" wrapText="1"/>
    </xf>
    <xf numFmtId="3" fontId="19" fillId="43" borderId="6" xfId="1192" applyNumberFormat="1" applyFill="1" applyBorder="1" applyAlignment="1" applyProtection="1">
      <alignment horizontal="right"/>
      <protection locked="0"/>
    </xf>
    <xf numFmtId="0" fontId="142" fillId="0" borderId="0" xfId="1192" applyFont="1" applyAlignment="1">
      <alignment horizontal="center"/>
    </xf>
    <xf numFmtId="4" fontId="27" fillId="0" borderId="6" xfId="4495" applyNumberFormat="1" applyFont="1" applyBorder="1" applyAlignment="1">
      <alignment horizontal="center"/>
    </xf>
    <xf numFmtId="0" fontId="26" fillId="0" borderId="0" xfId="4495" applyFont="1" applyAlignment="1">
      <alignment horizontal="left" wrapText="1"/>
    </xf>
    <xf numFmtId="164" fontId="19" fillId="0" borderId="50" xfId="4495" applyNumberFormat="1" applyFont="1" applyBorder="1" applyAlignment="1">
      <alignment horizontal="left" vertical="top" wrapText="1"/>
    </xf>
    <xf numFmtId="164" fontId="19" fillId="0" borderId="51" xfId="4495" applyNumberFormat="1" applyFont="1" applyBorder="1" applyAlignment="1">
      <alignment horizontal="left" vertical="top" wrapText="1"/>
    </xf>
    <xf numFmtId="164" fontId="19" fillId="0" borderId="52" xfId="4495" applyNumberFormat="1" applyFont="1" applyBorder="1" applyAlignment="1">
      <alignment horizontal="left" vertical="top" wrapText="1"/>
    </xf>
    <xf numFmtId="164" fontId="19" fillId="0" borderId="53" xfId="4495" applyNumberFormat="1" applyFont="1" applyBorder="1" applyAlignment="1">
      <alignment horizontal="left" vertical="top" wrapText="1"/>
    </xf>
    <xf numFmtId="164" fontId="19" fillId="0" borderId="0" xfId="4495" applyNumberFormat="1" applyFont="1" applyAlignment="1">
      <alignment horizontal="left" vertical="top" wrapText="1"/>
    </xf>
    <xf numFmtId="164" fontId="19" fillId="0" borderId="54" xfId="4495" applyNumberFormat="1" applyFont="1" applyBorder="1" applyAlignment="1">
      <alignment horizontal="left" vertical="top" wrapText="1"/>
    </xf>
    <xf numFmtId="164" fontId="19" fillId="0" borderId="57" xfId="4495" applyNumberFormat="1" applyFont="1" applyBorder="1" applyAlignment="1">
      <alignment horizontal="left" vertical="top" wrapText="1"/>
    </xf>
    <xf numFmtId="164" fontId="19" fillId="0" borderId="58" xfId="4495" applyNumberFormat="1" applyFont="1" applyBorder="1" applyAlignment="1">
      <alignment horizontal="left" vertical="top" wrapText="1"/>
    </xf>
    <xf numFmtId="164" fontId="19" fillId="0" borderId="59" xfId="4495" applyNumberFormat="1" applyFont="1" applyBorder="1" applyAlignment="1">
      <alignment horizontal="left" vertical="top" wrapText="1"/>
    </xf>
    <xf numFmtId="168" fontId="19" fillId="0" borderId="4" xfId="1192" applyNumberFormat="1" applyBorder="1" applyAlignment="1">
      <alignment horizontal="right"/>
    </xf>
    <xf numFmtId="0" fontId="119" fillId="0" borderId="4" xfId="1192" applyFont="1" applyBorder="1" applyAlignment="1">
      <alignment horizontal="left"/>
    </xf>
    <xf numFmtId="0" fontId="121" fillId="5" borderId="62" xfId="4495" applyFill="1" applyBorder="1" applyAlignment="1">
      <alignment horizontal="center"/>
    </xf>
    <xf numFmtId="0" fontId="121" fillId="5" borderId="63" xfId="4495" applyFill="1" applyBorder="1" applyAlignment="1">
      <alignment horizontal="center"/>
    </xf>
    <xf numFmtId="0" fontId="99" fillId="0" borderId="3" xfId="4496" applyFont="1" applyBorder="1"/>
    <xf numFmtId="0" fontId="99" fillId="0" borderId="81" xfId="4496" applyFont="1" applyBorder="1"/>
    <xf numFmtId="0" fontId="99" fillId="0" borderId="94" xfId="4496" applyFont="1" applyBorder="1"/>
    <xf numFmtId="0" fontId="99" fillId="0" borderId="85" xfId="4496" applyFont="1" applyBorder="1"/>
    <xf numFmtId="49" fontId="99" fillId="45" borderId="15" xfId="4496" applyNumberFormat="1" applyFont="1" applyFill="1" applyBorder="1" applyAlignment="1">
      <alignment horizontal="center" vertical="center" wrapText="1"/>
    </xf>
    <xf numFmtId="49" fontId="99" fillId="45" borderId="13" xfId="4496" applyNumberFormat="1" applyFont="1" applyFill="1" applyBorder="1" applyAlignment="1">
      <alignment horizontal="center" vertical="center" wrapText="1"/>
    </xf>
    <xf numFmtId="0" fontId="99" fillId="0" borderId="93" xfId="4496" applyFont="1" applyBorder="1" applyAlignment="1">
      <alignment horizontal="right"/>
    </xf>
    <xf numFmtId="0" fontId="99" fillId="0" borderId="74" xfId="4496" applyFont="1" applyBorder="1" applyAlignment="1">
      <alignment horizontal="right"/>
    </xf>
    <xf numFmtId="0" fontId="99" fillId="0" borderId="75" xfId="4496" applyFont="1" applyBorder="1"/>
    <xf numFmtId="0" fontId="99" fillId="0" borderId="91" xfId="4496" applyFont="1" applyBorder="1"/>
    <xf numFmtId="0" fontId="99" fillId="0" borderId="90" xfId="4496" applyFont="1" applyBorder="1" applyAlignment="1">
      <alignment horizontal="right"/>
    </xf>
    <xf numFmtId="0" fontId="99" fillId="0" borderId="5" xfId="4496" applyFont="1" applyBorder="1" applyAlignment="1">
      <alignment horizontal="right"/>
    </xf>
    <xf numFmtId="0" fontId="99" fillId="0" borderId="69" xfId="4496" applyFont="1" applyBorder="1" applyAlignment="1">
      <alignment horizontal="right"/>
    </xf>
    <xf numFmtId="0" fontId="99" fillId="0" borderId="70" xfId="4496" applyFont="1" applyBorder="1" applyAlignment="1">
      <alignment horizontal="right"/>
    </xf>
    <xf numFmtId="168" fontId="99" fillId="0" borderId="11" xfId="4499" applyNumberFormat="1" applyFont="1" applyFill="1" applyBorder="1" applyAlignment="1" applyProtection="1">
      <alignment horizontal="left" vertical="center" indent="1"/>
    </xf>
    <xf numFmtId="0" fontId="137" fillId="0" borderId="68" xfId="4496" applyFont="1" applyBorder="1" applyAlignment="1">
      <alignment horizontal="left" indent="1"/>
    </xf>
    <xf numFmtId="168" fontId="99" fillId="0" borderId="70" xfId="4499" applyNumberFormat="1" applyFont="1" applyFill="1" applyBorder="1" applyAlignment="1" applyProtection="1">
      <alignment horizontal="left" vertical="center" indent="1"/>
    </xf>
    <xf numFmtId="49" fontId="136" fillId="3" borderId="0" xfId="1192" applyNumberFormat="1" applyFont="1" applyFill="1" applyAlignment="1">
      <alignment horizontal="center" vertical="center"/>
    </xf>
    <xf numFmtId="0" fontId="99" fillId="0" borderId="11" xfId="4496" applyFont="1" applyBorder="1" applyAlignment="1">
      <alignment horizontal="left" indent="1"/>
    </xf>
    <xf numFmtId="0" fontId="99" fillId="0" borderId="11" xfId="4496" applyFont="1" applyBorder="1" applyAlignment="1">
      <alignment horizontal="left" indent="2"/>
    </xf>
    <xf numFmtId="0" fontId="137" fillId="45" borderId="3" xfId="4496" applyFont="1" applyFill="1" applyBorder="1" applyAlignment="1">
      <alignment horizontal="center" vertical="center"/>
    </xf>
    <xf numFmtId="0" fontId="137" fillId="45" borderId="4" xfId="4496" applyFont="1" applyFill="1" applyBorder="1" applyAlignment="1">
      <alignment horizontal="center" vertical="center"/>
    </xf>
    <xf numFmtId="0" fontId="137" fillId="45" borderId="5" xfId="4496" applyFont="1" applyFill="1" applyBorder="1" applyAlignment="1">
      <alignment horizontal="center" vertical="center"/>
    </xf>
    <xf numFmtId="9" fontId="137" fillId="45" borderId="3" xfId="4499" applyFont="1" applyFill="1" applyBorder="1" applyAlignment="1" applyProtection="1">
      <alignment horizontal="center" vertical="center"/>
    </xf>
    <xf numFmtId="9" fontId="137" fillId="45" borderId="4" xfId="4499" applyFont="1" applyFill="1" applyBorder="1" applyAlignment="1" applyProtection="1">
      <alignment horizontal="center" vertical="center"/>
    </xf>
    <xf numFmtId="9" fontId="137" fillId="45" borderId="5" xfId="4499" applyFont="1" applyFill="1" applyBorder="1" applyAlignment="1" applyProtection="1">
      <alignment horizontal="center" vertical="center"/>
    </xf>
    <xf numFmtId="168" fontId="99" fillId="0" borderId="13" xfId="4499" applyNumberFormat="1" applyFont="1" applyFill="1" applyBorder="1" applyAlignment="1" applyProtection="1">
      <alignment horizontal="left" vertical="center" indent="1"/>
    </xf>
    <xf numFmtId="0" fontId="99" fillId="0" borderId="3" xfId="4496" applyFont="1" applyBorder="1" applyAlignment="1">
      <alignment horizontal="left" indent="1"/>
    </xf>
    <xf numFmtId="0" fontId="99" fillId="0" borderId="4" xfId="4496" applyFont="1" applyBorder="1" applyAlignment="1">
      <alignment horizontal="left" indent="1"/>
    </xf>
    <xf numFmtId="0" fontId="99" fillId="0" borderId="5" xfId="4496" applyFont="1" applyBorder="1" applyAlignment="1">
      <alignment horizontal="left" indent="1"/>
    </xf>
    <xf numFmtId="0" fontId="99" fillId="0" borderId="3" xfId="4496" applyFont="1" applyBorder="1" applyAlignment="1">
      <alignment horizontal="left" indent="2"/>
    </xf>
    <xf numFmtId="0" fontId="99" fillId="0" borderId="4" xfId="4496" applyFont="1" applyBorder="1" applyAlignment="1">
      <alignment horizontal="left" indent="2"/>
    </xf>
    <xf numFmtId="0" fontId="99" fillId="0" borderId="5" xfId="4496" applyFont="1" applyBorder="1" applyAlignment="1">
      <alignment horizontal="left" indent="2"/>
    </xf>
    <xf numFmtId="0" fontId="99" fillId="0" borderId="0" xfId="4496" applyFont="1" applyAlignment="1">
      <alignment wrapText="1"/>
    </xf>
    <xf numFmtId="0" fontId="137" fillId="0" borderId="75" xfId="4496" applyFont="1" applyBorder="1" applyAlignment="1">
      <alignment horizontal="center" vertical="top" wrapText="1"/>
    </xf>
    <xf numFmtId="0" fontId="137" fillId="0" borderId="74" xfId="4496" applyFont="1" applyBorder="1" applyAlignment="1">
      <alignment horizontal="center" vertical="top" wrapText="1"/>
    </xf>
    <xf numFmtId="0" fontId="99" fillId="0" borderId="0" xfId="4496" applyFont="1" applyAlignment="1">
      <alignment horizontal="left" wrapText="1"/>
    </xf>
    <xf numFmtId="0" fontId="99" fillId="0" borderId="0" xfId="4496" applyFont="1" applyAlignment="1">
      <alignment horizontal="center" vertical="center" wrapText="1"/>
    </xf>
    <xf numFmtId="0" fontId="99" fillId="43" borderId="0" xfId="4496" applyFont="1" applyFill="1" applyAlignment="1" applyProtection="1">
      <alignment horizontal="left" vertical="top" wrapText="1"/>
      <protection locked="0"/>
    </xf>
    <xf numFmtId="0" fontId="99" fillId="43" borderId="6" xfId="4496" applyFont="1" applyFill="1" applyBorder="1" applyAlignment="1" applyProtection="1">
      <alignment horizontal="left" vertical="top" wrapText="1"/>
      <protection locked="0"/>
    </xf>
    <xf numFmtId="0" fontId="99" fillId="0" borderId="0" xfId="4496" applyFont="1" applyAlignment="1">
      <alignment horizontal="left" wrapText="1" indent="1"/>
    </xf>
    <xf numFmtId="0" fontId="24" fillId="0" borderId="6" xfId="271" applyFont="1" applyBorder="1" applyAlignment="1">
      <alignment horizontal="center"/>
    </xf>
    <xf numFmtId="0" fontId="24" fillId="0" borderId="0" xfId="0" applyFont="1" applyAlignment="1" applyProtection="1">
      <alignment wrapText="1"/>
      <protection locked="0"/>
    </xf>
    <xf numFmtId="3" fontId="19" fillId="0" borderId="0" xfId="0" applyNumberFormat="1" applyFont="1" applyAlignment="1">
      <alignment horizontal="left" vertical="top" wrapText="1"/>
    </xf>
    <xf numFmtId="3" fontId="28" fillId="0" borderId="0" xfId="0" applyNumberFormat="1" applyFont="1" applyAlignment="1">
      <alignment horizontal="left" vertical="top" wrapText="1"/>
    </xf>
    <xf numFmtId="0" fontId="19" fillId="43" borderId="0" xfId="0" applyFont="1" applyFill="1" applyAlignment="1">
      <alignment horizontal="left"/>
    </xf>
  </cellXfs>
  <cellStyles count="18912">
    <cellStyle name="20% - Accent1" xfId="1" builtinId="30" customBuiltin="1"/>
    <cellStyle name="20% - Accent1 10" xfId="4504" xr:uid="{00000000-0005-0000-0000-000001000000}"/>
    <cellStyle name="20% - Accent1 10 2" xfId="13830" xr:uid="{F829A124-D196-4035-A8A2-A259DD7F5FBE}"/>
    <cellStyle name="20% - Accent1 11" xfId="8758" xr:uid="{2F735C8D-70CB-4E84-A95A-4445894745BC}"/>
    <cellStyle name="20% - Accent1 11 2" xfId="18082" xr:uid="{9ED907F8-2B8A-4CE3-BE54-E833966FD8EE}"/>
    <cellStyle name="20% - Accent1 12" xfId="9613" xr:uid="{E65320C1-799D-49F1-B4F7-13D30459DE65}"/>
    <cellStyle name="20% - Accent1 2" xfId="2" xr:uid="{00000000-0005-0000-0000-000002000000}"/>
    <cellStyle name="20% - Accent1 2 10" xfId="8797" xr:uid="{7F4BEAE6-CC35-4B07-89BD-8FC5D6B3D35B}"/>
    <cellStyle name="20% - Accent1 2 10 2" xfId="18121" xr:uid="{76F0D22E-3AC2-4A16-BB3D-53DE7660D7BA}"/>
    <cellStyle name="20% - Accent1 2 11" xfId="9614" xr:uid="{F8395766-526D-4B59-B8C7-DE9404CDF8EB}"/>
    <cellStyle name="20% - Accent1 2 2" xfId="3" xr:uid="{00000000-0005-0000-0000-000003000000}"/>
    <cellStyle name="20% - Accent1 2 2 10" xfId="9615" xr:uid="{F7905B64-B290-4585-BB07-4F9D884A946F}"/>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2 2 2" xfId="16392" xr:uid="{196AE6EC-88AE-42BA-BAA7-C7D23BDA4543}"/>
    <cellStyle name="20% - Accent1 2 2 2 2 2 3" xfId="12175" xr:uid="{B022C5C2-C420-4864-9E07-8CA6A82EEF81}"/>
    <cellStyle name="20% - Accent1 2 2 2 2 3" xfId="4921" xr:uid="{00000000-0005-0000-0000-000008000000}"/>
    <cellStyle name="20% - Accent1 2 2 2 2 3 2" xfId="14247" xr:uid="{037866CF-A3BA-40B7-A995-EBED05FF435F}"/>
    <cellStyle name="20% - Accent1 2 2 2 2 4" xfId="9532" xr:uid="{D5FAB462-C5A9-4306-AA37-C118C84F9393}"/>
    <cellStyle name="20% - Accent1 2 2 2 2 4 2" xfId="18847" xr:uid="{62679ACE-33BB-49DC-912C-16D06473A7F7}"/>
    <cellStyle name="20% - Accent1 2 2 2 2 5" xfId="10030" xr:uid="{94C98D05-47C1-4197-87BE-3B7209A4A7E5}"/>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2 2 2" xfId="16805" xr:uid="{484D8F86-DEF0-4201-9F32-B91BFD0553DC}"/>
    <cellStyle name="20% - Accent1 2 2 2 3 2 3" xfId="12588" xr:uid="{AC107F92-E47C-45D2-8B83-677FF4300D10}"/>
    <cellStyle name="20% - Accent1 2 2 2 3 3" xfId="5334" xr:uid="{00000000-0005-0000-0000-00000C000000}"/>
    <cellStyle name="20% - Accent1 2 2 2 3 3 2" xfId="14660" xr:uid="{7F7550AE-3CF4-41E1-92F8-1EF50709CEB8}"/>
    <cellStyle name="20% - Accent1 2 2 2 3 4" xfId="10443" xr:uid="{9C823C92-4389-4AE3-BD38-62452DC05127}"/>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2 2 2" xfId="17218" xr:uid="{7181B009-BE96-4B7B-90E3-3D2ECFE2B99F}"/>
    <cellStyle name="20% - Accent1 2 2 2 4 2 3" xfId="13001" xr:uid="{1C1AFEBF-8020-4B92-94CB-A2B3BCF11615}"/>
    <cellStyle name="20% - Accent1 2 2 2 4 3" xfId="5747" xr:uid="{00000000-0005-0000-0000-000010000000}"/>
    <cellStyle name="20% - Accent1 2 2 2 4 3 2" xfId="15073" xr:uid="{5849C9A2-2574-4B39-A8FE-19FA8D778648}"/>
    <cellStyle name="20% - Accent1 2 2 2 4 4" xfId="10856" xr:uid="{7561BADD-1E22-498D-8CC8-3C4BACED1C77}"/>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2 2 2" xfId="17631" xr:uid="{83B452F9-48FA-428A-8CBB-1CFD5DD18B1D}"/>
    <cellStyle name="20% - Accent1 2 2 2 5 2 3" xfId="13414" xr:uid="{A3C784EF-6DF4-4A96-AE1A-687A3DCD329D}"/>
    <cellStyle name="20% - Accent1 2 2 2 5 3" xfId="6160" xr:uid="{00000000-0005-0000-0000-000014000000}"/>
    <cellStyle name="20% - Accent1 2 2 2 5 3 2" xfId="15486" xr:uid="{4961DE53-E045-4E4F-BBAF-7CE50333BB41}"/>
    <cellStyle name="20% - Accent1 2 2 2 5 4" xfId="11269" xr:uid="{98FD4551-0EBE-48D0-B1CE-F4B209E60FAD}"/>
    <cellStyle name="20% - Accent1 2 2 2 6" xfId="2267" xr:uid="{00000000-0005-0000-0000-000015000000}"/>
    <cellStyle name="20% - Accent1 2 2 2 6 2" xfId="6573" xr:uid="{00000000-0005-0000-0000-000016000000}"/>
    <cellStyle name="20% - Accent1 2 2 2 6 2 2" xfId="15899" xr:uid="{0C7E8BE1-0746-4637-85E9-332BF8B0BEEC}"/>
    <cellStyle name="20% - Accent1 2 2 2 6 3" xfId="11682" xr:uid="{DAB76CEE-4428-4E4E-A89B-65888AFB9390}"/>
    <cellStyle name="20% - Accent1 2 2 2 7" xfId="4507" xr:uid="{00000000-0005-0000-0000-000017000000}"/>
    <cellStyle name="20% - Accent1 2 2 2 7 2" xfId="13833" xr:uid="{BB617CA9-7008-4474-AEA9-56F1FE2D43C2}"/>
    <cellStyle name="20% - Accent1 2 2 2 8" xfId="9107" xr:uid="{4168D01E-823F-4E8F-9A1D-70697AC1F241}"/>
    <cellStyle name="20% - Accent1 2 2 2 8 2" xfId="18431" xr:uid="{28ECF4C3-0695-47AE-AF3B-969366F1730B}"/>
    <cellStyle name="20% - Accent1 2 2 2 9" xfId="9616" xr:uid="{3F670B1D-1270-4C03-8F0B-B3A7D07A909E}"/>
    <cellStyle name="20% - Accent1 2 2 3" xfId="572" xr:uid="{00000000-0005-0000-0000-000018000000}"/>
    <cellStyle name="20% - Accent1 2 2 3 2" xfId="2843" xr:uid="{00000000-0005-0000-0000-000019000000}"/>
    <cellStyle name="20% - Accent1 2 2 3 2 2" xfId="7065" xr:uid="{00000000-0005-0000-0000-00001A000000}"/>
    <cellStyle name="20% - Accent1 2 2 3 2 2 2" xfId="16391" xr:uid="{8F21806A-45BE-4FDC-AF94-0C859C3D672D}"/>
    <cellStyle name="20% - Accent1 2 2 3 2 3" xfId="12174" xr:uid="{204E7170-EA4A-4D32-86D5-B89A72F86F6F}"/>
    <cellStyle name="20% - Accent1 2 2 3 3" xfId="4920" xr:uid="{00000000-0005-0000-0000-00001B000000}"/>
    <cellStyle name="20% - Accent1 2 2 3 3 2" xfId="14246" xr:uid="{0ECA585E-490D-4F32-B3F7-4FA243660E85}"/>
    <cellStyle name="20% - Accent1 2 2 3 4" xfId="9325" xr:uid="{DE19910B-698B-4F31-B25F-3533B35DDA95}"/>
    <cellStyle name="20% - Accent1 2 2 3 4 2" xfId="18640" xr:uid="{0EAF5591-88D5-495E-810D-0DABD5DBF049}"/>
    <cellStyle name="20% - Accent1 2 2 3 5" xfId="10029" xr:uid="{44397202-21D7-4312-B2AD-A4549BC2F0CB}"/>
    <cellStyle name="20% - Accent1 2 2 4" xfId="1025" xr:uid="{00000000-0005-0000-0000-00001C000000}"/>
    <cellStyle name="20% - Accent1 2 2 4 2" xfId="3256" xr:uid="{00000000-0005-0000-0000-00001D000000}"/>
    <cellStyle name="20% - Accent1 2 2 4 2 2" xfId="7478" xr:uid="{00000000-0005-0000-0000-00001E000000}"/>
    <cellStyle name="20% - Accent1 2 2 4 2 2 2" xfId="16804" xr:uid="{5CD32A2F-B48F-43DD-8E95-E6E27568D585}"/>
    <cellStyle name="20% - Accent1 2 2 4 2 3" xfId="12587" xr:uid="{2F31B6A8-5FB4-4455-93B8-D6ED2DF5B426}"/>
    <cellStyle name="20% - Accent1 2 2 4 3" xfId="5333" xr:uid="{00000000-0005-0000-0000-00001F000000}"/>
    <cellStyle name="20% - Accent1 2 2 4 3 2" xfId="14659" xr:uid="{2FC80067-F1C4-4321-9799-C0EBEBC6B10E}"/>
    <cellStyle name="20% - Accent1 2 2 4 4" xfId="10442" xr:uid="{9075EB37-E9B3-405C-B022-FC1E8E35AFEA}"/>
    <cellStyle name="20% - Accent1 2 2 5" xfId="1439" xr:uid="{00000000-0005-0000-0000-000020000000}"/>
    <cellStyle name="20% - Accent1 2 2 5 2" xfId="3669" xr:uid="{00000000-0005-0000-0000-000021000000}"/>
    <cellStyle name="20% - Accent1 2 2 5 2 2" xfId="7891" xr:uid="{00000000-0005-0000-0000-000022000000}"/>
    <cellStyle name="20% - Accent1 2 2 5 2 2 2" xfId="17217" xr:uid="{B4C892BE-55C3-4FB2-92F1-59740FB66525}"/>
    <cellStyle name="20% - Accent1 2 2 5 2 3" xfId="13000" xr:uid="{AF95E212-34CF-4B5C-96CA-AD3A4591313D}"/>
    <cellStyle name="20% - Accent1 2 2 5 3" xfId="5746" xr:uid="{00000000-0005-0000-0000-000023000000}"/>
    <cellStyle name="20% - Accent1 2 2 5 3 2" xfId="15072" xr:uid="{F8EEC2B6-7EA8-429A-BA8B-FAD213D580DB}"/>
    <cellStyle name="20% - Accent1 2 2 5 4" xfId="10855" xr:uid="{82E3A0BA-6CD0-46D3-9CE0-250BD97FF32C}"/>
    <cellStyle name="20% - Accent1 2 2 6" xfId="1853" xr:uid="{00000000-0005-0000-0000-000024000000}"/>
    <cellStyle name="20% - Accent1 2 2 6 2" xfId="4082" xr:uid="{00000000-0005-0000-0000-000025000000}"/>
    <cellStyle name="20% - Accent1 2 2 6 2 2" xfId="8304" xr:uid="{00000000-0005-0000-0000-000026000000}"/>
    <cellStyle name="20% - Accent1 2 2 6 2 2 2" xfId="17630" xr:uid="{3458BEF5-4E9E-4B57-8429-BF423EB31B23}"/>
    <cellStyle name="20% - Accent1 2 2 6 2 3" xfId="13413" xr:uid="{2C1E8EC1-F349-42FC-B62F-63D1B100AFC8}"/>
    <cellStyle name="20% - Accent1 2 2 6 3" xfId="6159" xr:uid="{00000000-0005-0000-0000-000027000000}"/>
    <cellStyle name="20% - Accent1 2 2 6 3 2" xfId="15485" xr:uid="{385101EE-8B72-4702-A9CF-F9E1F9C4C670}"/>
    <cellStyle name="20% - Accent1 2 2 6 4" xfId="11268" xr:uid="{26BB370D-6C62-4257-8F94-FB50AA724123}"/>
    <cellStyle name="20% - Accent1 2 2 7" xfId="2266" xr:uid="{00000000-0005-0000-0000-000028000000}"/>
    <cellStyle name="20% - Accent1 2 2 7 2" xfId="6572" xr:uid="{00000000-0005-0000-0000-000029000000}"/>
    <cellStyle name="20% - Accent1 2 2 7 2 2" xfId="15898" xr:uid="{12715169-0B4A-452E-B9E3-BFDA597CF79B}"/>
    <cellStyle name="20% - Accent1 2 2 7 3" xfId="11681" xr:uid="{BA988B9A-BDA9-4DD1-A3C0-4A2D49EFAE2E}"/>
    <cellStyle name="20% - Accent1 2 2 8" xfId="4506" xr:uid="{00000000-0005-0000-0000-00002A000000}"/>
    <cellStyle name="20% - Accent1 2 2 8 2" xfId="13832" xr:uid="{292D2CDF-8116-44A7-9520-18902BD6F3DD}"/>
    <cellStyle name="20% - Accent1 2 2 9" xfId="8900" xr:uid="{7D7E3EAF-DF6A-403F-8C20-66BB9757790F}"/>
    <cellStyle name="20% - Accent1 2 2 9 2" xfId="18224" xr:uid="{DEA49B26-AA81-4BBB-8994-FED9D7896821}"/>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2 2 2" xfId="16393" xr:uid="{E46E3C89-A56D-470A-9856-06A368C743C3}"/>
    <cellStyle name="20% - Accent1 2 3 2 2 3" xfId="12176" xr:uid="{147380DB-2736-4009-8E1F-2A2677189749}"/>
    <cellStyle name="20% - Accent1 2 3 2 3" xfId="4922" xr:uid="{00000000-0005-0000-0000-00002F000000}"/>
    <cellStyle name="20% - Accent1 2 3 2 3 2" xfId="14248" xr:uid="{7B8D50FE-828C-49C3-91F9-2EC81A5B1223}"/>
    <cellStyle name="20% - Accent1 2 3 2 4" xfId="9429" xr:uid="{CCD4BD61-3143-497B-A316-8024A8762A6C}"/>
    <cellStyle name="20% - Accent1 2 3 2 4 2" xfId="18744" xr:uid="{8CC8D589-F4D1-4D28-89F2-2019F6C24A51}"/>
    <cellStyle name="20% - Accent1 2 3 2 5" xfId="10031" xr:uid="{206E973F-4A73-4D73-AA56-1ABB6D3050B1}"/>
    <cellStyle name="20% - Accent1 2 3 3" xfId="1027" xr:uid="{00000000-0005-0000-0000-000030000000}"/>
    <cellStyle name="20% - Accent1 2 3 3 2" xfId="3258" xr:uid="{00000000-0005-0000-0000-000031000000}"/>
    <cellStyle name="20% - Accent1 2 3 3 2 2" xfId="7480" xr:uid="{00000000-0005-0000-0000-000032000000}"/>
    <cellStyle name="20% - Accent1 2 3 3 2 2 2" xfId="16806" xr:uid="{EF77FEB7-82F9-4AC1-98CE-20862A05BEAE}"/>
    <cellStyle name="20% - Accent1 2 3 3 2 3" xfId="12589" xr:uid="{8F7D8C29-9DE2-4949-96A3-D320057E9EE7}"/>
    <cellStyle name="20% - Accent1 2 3 3 3" xfId="5335" xr:uid="{00000000-0005-0000-0000-000033000000}"/>
    <cellStyle name="20% - Accent1 2 3 3 3 2" xfId="14661" xr:uid="{A3D2EF5F-3AB6-4BE5-B010-057DD67CD1A2}"/>
    <cellStyle name="20% - Accent1 2 3 3 4" xfId="10444" xr:uid="{903AB638-703D-434E-B791-DC64D93172A8}"/>
    <cellStyle name="20% - Accent1 2 3 4" xfId="1441" xr:uid="{00000000-0005-0000-0000-000034000000}"/>
    <cellStyle name="20% - Accent1 2 3 4 2" xfId="3671" xr:uid="{00000000-0005-0000-0000-000035000000}"/>
    <cellStyle name="20% - Accent1 2 3 4 2 2" xfId="7893" xr:uid="{00000000-0005-0000-0000-000036000000}"/>
    <cellStyle name="20% - Accent1 2 3 4 2 2 2" xfId="17219" xr:uid="{67744729-6388-46C0-9516-A6A7B8B21E2A}"/>
    <cellStyle name="20% - Accent1 2 3 4 2 3" xfId="13002" xr:uid="{A8501996-1CBA-4A76-9642-DE42CDCBCAF2}"/>
    <cellStyle name="20% - Accent1 2 3 4 3" xfId="5748" xr:uid="{00000000-0005-0000-0000-000037000000}"/>
    <cellStyle name="20% - Accent1 2 3 4 3 2" xfId="15074" xr:uid="{3D0A252D-0FE5-45E9-81FD-E6FB38C8A836}"/>
    <cellStyle name="20% - Accent1 2 3 4 4" xfId="10857" xr:uid="{10B9843B-5D63-4346-B42C-3D58247B1424}"/>
    <cellStyle name="20% - Accent1 2 3 5" xfId="1855" xr:uid="{00000000-0005-0000-0000-000038000000}"/>
    <cellStyle name="20% - Accent1 2 3 5 2" xfId="4084" xr:uid="{00000000-0005-0000-0000-000039000000}"/>
    <cellStyle name="20% - Accent1 2 3 5 2 2" xfId="8306" xr:uid="{00000000-0005-0000-0000-00003A000000}"/>
    <cellStyle name="20% - Accent1 2 3 5 2 2 2" xfId="17632" xr:uid="{F91A295F-DE7B-45B3-9FCB-98287DB9ED64}"/>
    <cellStyle name="20% - Accent1 2 3 5 2 3" xfId="13415" xr:uid="{BD91A957-EA4D-4457-A4EF-CC5D76FD8699}"/>
    <cellStyle name="20% - Accent1 2 3 5 3" xfId="6161" xr:uid="{00000000-0005-0000-0000-00003B000000}"/>
    <cellStyle name="20% - Accent1 2 3 5 3 2" xfId="15487" xr:uid="{EC8DE913-02CF-4CB0-9CFF-3048C595E4F4}"/>
    <cellStyle name="20% - Accent1 2 3 5 4" xfId="11270" xr:uid="{A316508B-7585-4386-9877-B258A2AA9A10}"/>
    <cellStyle name="20% - Accent1 2 3 6" xfId="2268" xr:uid="{00000000-0005-0000-0000-00003C000000}"/>
    <cellStyle name="20% - Accent1 2 3 6 2" xfId="6574" xr:uid="{00000000-0005-0000-0000-00003D000000}"/>
    <cellStyle name="20% - Accent1 2 3 6 2 2" xfId="15900" xr:uid="{20D398C9-5351-428F-959D-8F1BD2DFF2A6}"/>
    <cellStyle name="20% - Accent1 2 3 6 3" xfId="11683" xr:uid="{C71EE81E-1237-4A26-960B-D06A20C07B60}"/>
    <cellStyle name="20% - Accent1 2 3 7" xfId="4508" xr:uid="{00000000-0005-0000-0000-00003E000000}"/>
    <cellStyle name="20% - Accent1 2 3 7 2" xfId="13834" xr:uid="{5F51E6C8-2C23-40D2-9C51-2A08182874D4}"/>
    <cellStyle name="20% - Accent1 2 3 8" xfId="9004" xr:uid="{14A9C135-BB7B-44DD-97E1-B6B10773DEE2}"/>
    <cellStyle name="20% - Accent1 2 3 8 2" xfId="18328" xr:uid="{C1396426-5230-479A-9FC2-428D8C83EB86}"/>
    <cellStyle name="20% - Accent1 2 3 9" xfId="9617" xr:uid="{1E38ADA0-5D9B-44D3-966B-4F49E54C9DC5}"/>
    <cellStyle name="20% - Accent1 2 4" xfId="571" xr:uid="{00000000-0005-0000-0000-00003F000000}"/>
    <cellStyle name="20% - Accent1 2 4 2" xfId="2842" xr:uid="{00000000-0005-0000-0000-000040000000}"/>
    <cellStyle name="20% - Accent1 2 4 2 2" xfId="7064" xr:uid="{00000000-0005-0000-0000-000041000000}"/>
    <cellStyle name="20% - Accent1 2 4 2 2 2" xfId="16390" xr:uid="{0A6CE2BB-63D7-4639-9E80-10A4EA64A4D1}"/>
    <cellStyle name="20% - Accent1 2 4 2 3" xfId="12173" xr:uid="{1BC8F6EF-6EE1-4426-B8E5-0541F90EE840}"/>
    <cellStyle name="20% - Accent1 2 4 3" xfId="4919" xr:uid="{00000000-0005-0000-0000-000042000000}"/>
    <cellStyle name="20% - Accent1 2 4 3 2" xfId="14245" xr:uid="{4121AC8B-CBD6-4370-9722-7D527DA4FA63}"/>
    <cellStyle name="20% - Accent1 2 4 4" xfId="9221" xr:uid="{11532E3F-E59C-4FF7-9F45-291A17A69435}"/>
    <cellStyle name="20% - Accent1 2 4 4 2" xfId="18537" xr:uid="{5DB22086-D73E-4DCA-9153-5D38CD5D2578}"/>
    <cellStyle name="20% - Accent1 2 4 5" xfId="10028" xr:uid="{CFB74623-9460-475B-91A6-47C4E82D0063}"/>
    <cellStyle name="20% - Accent1 2 5" xfId="1024" xr:uid="{00000000-0005-0000-0000-000043000000}"/>
    <cellStyle name="20% - Accent1 2 5 2" xfId="3255" xr:uid="{00000000-0005-0000-0000-000044000000}"/>
    <cellStyle name="20% - Accent1 2 5 2 2" xfId="7477" xr:uid="{00000000-0005-0000-0000-000045000000}"/>
    <cellStyle name="20% - Accent1 2 5 2 2 2" xfId="16803" xr:uid="{F14FF86B-2948-4CDC-BACC-8223E09EB99A}"/>
    <cellStyle name="20% - Accent1 2 5 2 3" xfId="12586" xr:uid="{7177B630-4F6F-492B-B3C9-54201011EB0D}"/>
    <cellStyle name="20% - Accent1 2 5 3" xfId="5332" xr:uid="{00000000-0005-0000-0000-000046000000}"/>
    <cellStyle name="20% - Accent1 2 5 3 2" xfId="14658" xr:uid="{B9D0FBD3-E56E-43D3-9AB3-4BAA02AFDE39}"/>
    <cellStyle name="20% - Accent1 2 5 4" xfId="10441" xr:uid="{4DFFFB94-D12C-4832-AB26-5F5A5FFFE296}"/>
    <cellStyle name="20% - Accent1 2 6" xfId="1438" xr:uid="{00000000-0005-0000-0000-000047000000}"/>
    <cellStyle name="20% - Accent1 2 6 2" xfId="3668" xr:uid="{00000000-0005-0000-0000-000048000000}"/>
    <cellStyle name="20% - Accent1 2 6 2 2" xfId="7890" xr:uid="{00000000-0005-0000-0000-000049000000}"/>
    <cellStyle name="20% - Accent1 2 6 2 2 2" xfId="17216" xr:uid="{7D9B16CA-BC0A-40AB-BB53-A6628DACFEC4}"/>
    <cellStyle name="20% - Accent1 2 6 2 3" xfId="12999" xr:uid="{D96E741E-A78B-42B7-AF49-63CD276965AE}"/>
    <cellStyle name="20% - Accent1 2 6 3" xfId="5745" xr:uid="{00000000-0005-0000-0000-00004A000000}"/>
    <cellStyle name="20% - Accent1 2 6 3 2" xfId="15071" xr:uid="{2F799700-7BA7-497A-B220-3FF445C6FB1B}"/>
    <cellStyle name="20% - Accent1 2 6 4" xfId="10854" xr:uid="{5B674C6E-3EB2-4FF8-89E7-7A1D205944BC}"/>
    <cellStyle name="20% - Accent1 2 7" xfId="1852" xr:uid="{00000000-0005-0000-0000-00004B000000}"/>
    <cellStyle name="20% - Accent1 2 7 2" xfId="4081" xr:uid="{00000000-0005-0000-0000-00004C000000}"/>
    <cellStyle name="20% - Accent1 2 7 2 2" xfId="8303" xr:uid="{00000000-0005-0000-0000-00004D000000}"/>
    <cellStyle name="20% - Accent1 2 7 2 2 2" xfId="17629" xr:uid="{8DE61C67-3F9A-4629-840D-683059CA89C7}"/>
    <cellStyle name="20% - Accent1 2 7 2 3" xfId="13412" xr:uid="{2E362C75-2812-47FD-98AF-516722983020}"/>
    <cellStyle name="20% - Accent1 2 7 3" xfId="6158" xr:uid="{00000000-0005-0000-0000-00004E000000}"/>
    <cellStyle name="20% - Accent1 2 7 3 2" xfId="15484" xr:uid="{1B6B4D3F-C940-4787-94C9-302000E0DE16}"/>
    <cellStyle name="20% - Accent1 2 7 4" xfId="11267" xr:uid="{C0EF671E-C159-45A4-86D8-57B4DA7D5C51}"/>
    <cellStyle name="20% - Accent1 2 8" xfId="2265" xr:uid="{00000000-0005-0000-0000-00004F000000}"/>
    <cellStyle name="20% - Accent1 2 8 2" xfId="6571" xr:uid="{00000000-0005-0000-0000-000050000000}"/>
    <cellStyle name="20% - Accent1 2 8 2 2" xfId="15897" xr:uid="{7FD96F4D-1569-466F-B316-19CEE7E291FA}"/>
    <cellStyle name="20% - Accent1 2 8 3" xfId="11680" xr:uid="{07905652-4F50-4F77-8BB8-1F888A167D60}"/>
    <cellStyle name="20% - Accent1 2 9" xfId="4505" xr:uid="{00000000-0005-0000-0000-000051000000}"/>
    <cellStyle name="20% - Accent1 2 9 2" xfId="13831" xr:uid="{66025A82-BF2F-4453-97E0-736067B7252A}"/>
    <cellStyle name="20% - Accent1 3" xfId="6" xr:uid="{00000000-0005-0000-0000-000052000000}"/>
    <cellStyle name="20% - Accent1 3 10" xfId="9618" xr:uid="{9F5B01A4-6ABB-4EC9-B086-9CEB3DFBECAC}"/>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2 2 2" xfId="16395" xr:uid="{6BFC925A-5AE5-48DF-852B-6331F4582ADA}"/>
    <cellStyle name="20% - Accent1 3 2 2 2 3" xfId="12178" xr:uid="{BE8065AF-995F-4B19-8130-CF1548BFF971}"/>
    <cellStyle name="20% - Accent1 3 2 2 3" xfId="4924" xr:uid="{00000000-0005-0000-0000-000057000000}"/>
    <cellStyle name="20% - Accent1 3 2 2 3 2" xfId="14250" xr:uid="{557C433D-9C3B-40C3-A573-E27708AA1A21}"/>
    <cellStyle name="20% - Accent1 3 2 2 4" xfId="9493" xr:uid="{FCEFE71D-2A04-4899-B62A-B225DBF7F0BF}"/>
    <cellStyle name="20% - Accent1 3 2 2 4 2" xfId="18808" xr:uid="{2B551EF7-4AF0-4CFC-90F2-452BF5D3DD9B}"/>
    <cellStyle name="20% - Accent1 3 2 2 5" xfId="10033" xr:uid="{3FB0D10F-F1C5-4EE7-88E5-2D64B773755E}"/>
    <cellStyle name="20% - Accent1 3 2 3" xfId="1029" xr:uid="{00000000-0005-0000-0000-000058000000}"/>
    <cellStyle name="20% - Accent1 3 2 3 2" xfId="3260" xr:uid="{00000000-0005-0000-0000-000059000000}"/>
    <cellStyle name="20% - Accent1 3 2 3 2 2" xfId="7482" xr:uid="{00000000-0005-0000-0000-00005A000000}"/>
    <cellStyle name="20% - Accent1 3 2 3 2 2 2" xfId="16808" xr:uid="{D1954014-73E5-41F0-98D6-E664ECDEC29F}"/>
    <cellStyle name="20% - Accent1 3 2 3 2 3" xfId="12591" xr:uid="{3117AB5D-8E44-4235-9A08-8A3A7542E9FD}"/>
    <cellStyle name="20% - Accent1 3 2 3 3" xfId="5337" xr:uid="{00000000-0005-0000-0000-00005B000000}"/>
    <cellStyle name="20% - Accent1 3 2 3 3 2" xfId="14663" xr:uid="{709D4125-C448-4039-9A5C-3B94E0C5FCC9}"/>
    <cellStyle name="20% - Accent1 3 2 3 4" xfId="10446" xr:uid="{5E0A1267-5EC9-4967-BC18-DECB92F8BB8D}"/>
    <cellStyle name="20% - Accent1 3 2 4" xfId="1443" xr:uid="{00000000-0005-0000-0000-00005C000000}"/>
    <cellStyle name="20% - Accent1 3 2 4 2" xfId="3673" xr:uid="{00000000-0005-0000-0000-00005D000000}"/>
    <cellStyle name="20% - Accent1 3 2 4 2 2" xfId="7895" xr:uid="{00000000-0005-0000-0000-00005E000000}"/>
    <cellStyle name="20% - Accent1 3 2 4 2 2 2" xfId="17221" xr:uid="{41B4A1F4-31E2-4D74-BE4F-885153BD8F31}"/>
    <cellStyle name="20% - Accent1 3 2 4 2 3" xfId="13004" xr:uid="{13412C75-9157-46B9-94D3-9F66F792972E}"/>
    <cellStyle name="20% - Accent1 3 2 4 3" xfId="5750" xr:uid="{00000000-0005-0000-0000-00005F000000}"/>
    <cellStyle name="20% - Accent1 3 2 4 3 2" xfId="15076" xr:uid="{5E0594C6-92AB-4EEB-8A3A-29688FDACEE8}"/>
    <cellStyle name="20% - Accent1 3 2 4 4" xfId="10859" xr:uid="{0F531A7F-3035-4EE8-9841-C06D7B82D36C}"/>
    <cellStyle name="20% - Accent1 3 2 5" xfId="1857" xr:uid="{00000000-0005-0000-0000-000060000000}"/>
    <cellStyle name="20% - Accent1 3 2 5 2" xfId="4086" xr:uid="{00000000-0005-0000-0000-000061000000}"/>
    <cellStyle name="20% - Accent1 3 2 5 2 2" xfId="8308" xr:uid="{00000000-0005-0000-0000-000062000000}"/>
    <cellStyle name="20% - Accent1 3 2 5 2 2 2" xfId="17634" xr:uid="{9F53111C-C4D9-43B1-ABBD-97B0358B6BFF}"/>
    <cellStyle name="20% - Accent1 3 2 5 2 3" xfId="13417" xr:uid="{05C432D8-3F73-41BC-A8EA-4BEDA700ACB5}"/>
    <cellStyle name="20% - Accent1 3 2 5 3" xfId="6163" xr:uid="{00000000-0005-0000-0000-000063000000}"/>
    <cellStyle name="20% - Accent1 3 2 5 3 2" xfId="15489" xr:uid="{06C3CBCD-21CC-4920-8487-C7DC8B84BCF7}"/>
    <cellStyle name="20% - Accent1 3 2 5 4" xfId="11272" xr:uid="{B2770F43-7676-4B16-B70D-76482552D5E8}"/>
    <cellStyle name="20% - Accent1 3 2 6" xfId="2270" xr:uid="{00000000-0005-0000-0000-000064000000}"/>
    <cellStyle name="20% - Accent1 3 2 6 2" xfId="6576" xr:uid="{00000000-0005-0000-0000-000065000000}"/>
    <cellStyle name="20% - Accent1 3 2 6 2 2" xfId="15902" xr:uid="{1E0A1DA8-14B8-4F9A-884A-DF8D95D55215}"/>
    <cellStyle name="20% - Accent1 3 2 6 3" xfId="11685" xr:uid="{D356E49E-67D2-4F99-BA35-894FBFE223FA}"/>
    <cellStyle name="20% - Accent1 3 2 7" xfId="4510" xr:uid="{00000000-0005-0000-0000-000066000000}"/>
    <cellStyle name="20% - Accent1 3 2 7 2" xfId="13836" xr:uid="{035AC171-C375-4B01-892A-D6336071EAFE}"/>
    <cellStyle name="20% - Accent1 3 2 8" xfId="9068" xr:uid="{354460C9-AD38-4FCD-882B-4DFB81DE5890}"/>
    <cellStyle name="20% - Accent1 3 2 8 2" xfId="18392" xr:uid="{9748B3B8-550B-407C-A73F-35DB16DC37CA}"/>
    <cellStyle name="20% - Accent1 3 2 9" xfId="9619" xr:uid="{C5C2FD31-7F79-42A4-BE97-ACF485BDE443}"/>
    <cellStyle name="20% - Accent1 3 3" xfId="575" xr:uid="{00000000-0005-0000-0000-000067000000}"/>
    <cellStyle name="20% - Accent1 3 3 2" xfId="2846" xr:uid="{00000000-0005-0000-0000-000068000000}"/>
    <cellStyle name="20% - Accent1 3 3 2 2" xfId="7068" xr:uid="{00000000-0005-0000-0000-000069000000}"/>
    <cellStyle name="20% - Accent1 3 3 2 2 2" xfId="16394" xr:uid="{F20DB2B8-CDE7-4819-9D2E-2A86676C08BC}"/>
    <cellStyle name="20% - Accent1 3 3 2 3" xfId="12177" xr:uid="{B46C4549-4BBC-464C-8870-5C689ACF3EFF}"/>
    <cellStyle name="20% - Accent1 3 3 3" xfId="4923" xr:uid="{00000000-0005-0000-0000-00006A000000}"/>
    <cellStyle name="20% - Accent1 3 3 3 2" xfId="14249" xr:uid="{D58BE192-A17B-4142-BF45-C66861D6D3E0}"/>
    <cellStyle name="20% - Accent1 3 3 4" xfId="9286" xr:uid="{B5220C4B-EBE7-4AD0-9A24-7F16FA378184}"/>
    <cellStyle name="20% - Accent1 3 3 4 2" xfId="18601" xr:uid="{BF707DE7-2D20-4363-A303-3903920D6524}"/>
    <cellStyle name="20% - Accent1 3 3 5" xfId="10032" xr:uid="{651B700C-D0C1-4219-82BB-FA5471D69008}"/>
    <cellStyle name="20% - Accent1 3 4" xfId="1028" xr:uid="{00000000-0005-0000-0000-00006B000000}"/>
    <cellStyle name="20% - Accent1 3 4 2" xfId="3259" xr:uid="{00000000-0005-0000-0000-00006C000000}"/>
    <cellStyle name="20% - Accent1 3 4 2 2" xfId="7481" xr:uid="{00000000-0005-0000-0000-00006D000000}"/>
    <cellStyle name="20% - Accent1 3 4 2 2 2" xfId="16807" xr:uid="{4013B557-CAEA-418A-A8F5-1B12439171D3}"/>
    <cellStyle name="20% - Accent1 3 4 2 3" xfId="12590" xr:uid="{1EAA3F8C-E118-4D84-BF4D-BFFCD40C9D8F}"/>
    <cellStyle name="20% - Accent1 3 4 3" xfId="5336" xr:uid="{00000000-0005-0000-0000-00006E000000}"/>
    <cellStyle name="20% - Accent1 3 4 3 2" xfId="14662" xr:uid="{59F6CFDD-5F12-4051-B4DC-5D53C42E1118}"/>
    <cellStyle name="20% - Accent1 3 4 4" xfId="10445" xr:uid="{BF763863-4C77-48F9-9492-EC28E2047E49}"/>
    <cellStyle name="20% - Accent1 3 5" xfId="1442" xr:uid="{00000000-0005-0000-0000-00006F000000}"/>
    <cellStyle name="20% - Accent1 3 5 2" xfId="3672" xr:uid="{00000000-0005-0000-0000-000070000000}"/>
    <cellStyle name="20% - Accent1 3 5 2 2" xfId="7894" xr:uid="{00000000-0005-0000-0000-000071000000}"/>
    <cellStyle name="20% - Accent1 3 5 2 2 2" xfId="17220" xr:uid="{F57B882E-9C1A-40E1-9E2F-A118850CB367}"/>
    <cellStyle name="20% - Accent1 3 5 2 3" xfId="13003" xr:uid="{A73952C8-5091-4FDE-84C9-E9AC6E34AC11}"/>
    <cellStyle name="20% - Accent1 3 5 3" xfId="5749" xr:uid="{00000000-0005-0000-0000-000072000000}"/>
    <cellStyle name="20% - Accent1 3 5 3 2" xfId="15075" xr:uid="{C704FF82-D041-4EBC-B37E-C490A9F45F4B}"/>
    <cellStyle name="20% - Accent1 3 5 4" xfId="10858" xr:uid="{903F4C2B-7B95-4EBE-889B-26753A1E6AB3}"/>
    <cellStyle name="20% - Accent1 3 6" xfId="1856" xr:uid="{00000000-0005-0000-0000-000073000000}"/>
    <cellStyle name="20% - Accent1 3 6 2" xfId="4085" xr:uid="{00000000-0005-0000-0000-000074000000}"/>
    <cellStyle name="20% - Accent1 3 6 2 2" xfId="8307" xr:uid="{00000000-0005-0000-0000-000075000000}"/>
    <cellStyle name="20% - Accent1 3 6 2 2 2" xfId="17633" xr:uid="{9D700F39-5B3A-4AAF-9A18-842C553E104A}"/>
    <cellStyle name="20% - Accent1 3 6 2 3" xfId="13416" xr:uid="{61AFAC62-382B-4F61-8B4A-53A3DEA1436A}"/>
    <cellStyle name="20% - Accent1 3 6 3" xfId="6162" xr:uid="{00000000-0005-0000-0000-000076000000}"/>
    <cellStyle name="20% - Accent1 3 6 3 2" xfId="15488" xr:uid="{2D6617C4-F2B6-4F36-8C4B-F8039FB2ECDD}"/>
    <cellStyle name="20% - Accent1 3 6 4" xfId="11271" xr:uid="{4393C3B9-BC1A-4DB4-84CB-8636D8F9C7C6}"/>
    <cellStyle name="20% - Accent1 3 7" xfId="2269" xr:uid="{00000000-0005-0000-0000-000077000000}"/>
    <cellStyle name="20% - Accent1 3 7 2" xfId="6575" xr:uid="{00000000-0005-0000-0000-000078000000}"/>
    <cellStyle name="20% - Accent1 3 7 2 2" xfId="15901" xr:uid="{FFAE6ABE-2BF6-452D-B728-8E822C5E41F0}"/>
    <cellStyle name="20% - Accent1 3 7 3" xfId="11684" xr:uid="{0864607D-255E-4B4F-A2B4-802BE796E9DE}"/>
    <cellStyle name="20% - Accent1 3 8" xfId="4509" xr:uid="{00000000-0005-0000-0000-000079000000}"/>
    <cellStyle name="20% - Accent1 3 8 2" xfId="13835" xr:uid="{E703EC78-0751-42D1-9EEC-AABCCC22254D}"/>
    <cellStyle name="20% - Accent1 3 9" xfId="8861" xr:uid="{C1B75176-75E3-4E31-86A7-851E7FD67A9E}"/>
    <cellStyle name="20% - Accent1 3 9 2" xfId="18185" xr:uid="{017B3063-3220-4EAB-AEB0-E37C434C251F}"/>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2 2 2" xfId="16396" xr:uid="{A339EC7E-A891-4CFB-8358-CB6B50D3EAC9}"/>
    <cellStyle name="20% - Accent1 4 2 2 3" xfId="12179" xr:uid="{5787B57E-4842-4390-B759-5EBE068BFB9E}"/>
    <cellStyle name="20% - Accent1 4 2 3" xfId="4925" xr:uid="{00000000-0005-0000-0000-00007E000000}"/>
    <cellStyle name="20% - Accent1 4 2 3 2" xfId="14251" xr:uid="{3CA1AC67-6EE2-4551-ADED-2ED363EC49B5}"/>
    <cellStyle name="20% - Accent1 4 2 4" xfId="9372" xr:uid="{E6B08341-6F7D-4580-9BCF-4BFC252FAE31}"/>
    <cellStyle name="20% - Accent1 4 2 4 2" xfId="18687" xr:uid="{31F80C41-0721-4091-8C71-3CFB255658E8}"/>
    <cellStyle name="20% - Accent1 4 2 5" xfId="10034" xr:uid="{895C2817-2A94-42E2-BC6F-E3FCFB9483B6}"/>
    <cellStyle name="20% - Accent1 4 3" xfId="1030" xr:uid="{00000000-0005-0000-0000-00007F000000}"/>
    <cellStyle name="20% - Accent1 4 3 2" xfId="3261" xr:uid="{00000000-0005-0000-0000-000080000000}"/>
    <cellStyle name="20% - Accent1 4 3 2 2" xfId="7483" xr:uid="{00000000-0005-0000-0000-000081000000}"/>
    <cellStyle name="20% - Accent1 4 3 2 2 2" xfId="16809" xr:uid="{AD82BEFC-9671-4AE7-AD0A-23B591BDC135}"/>
    <cellStyle name="20% - Accent1 4 3 2 3" xfId="12592" xr:uid="{8992821D-E286-4B7E-9E47-1B4FF02C745C}"/>
    <cellStyle name="20% - Accent1 4 3 3" xfId="5338" xr:uid="{00000000-0005-0000-0000-000082000000}"/>
    <cellStyle name="20% - Accent1 4 3 3 2" xfId="14664" xr:uid="{327E6304-4CE5-4FEF-A498-BFD885EE4659}"/>
    <cellStyle name="20% - Accent1 4 3 4" xfId="10447" xr:uid="{205193F9-D51C-48F3-86B4-4FC074BD8C40}"/>
    <cellStyle name="20% - Accent1 4 4" xfId="1444" xr:uid="{00000000-0005-0000-0000-000083000000}"/>
    <cellStyle name="20% - Accent1 4 4 2" xfId="3674" xr:uid="{00000000-0005-0000-0000-000084000000}"/>
    <cellStyle name="20% - Accent1 4 4 2 2" xfId="7896" xr:uid="{00000000-0005-0000-0000-000085000000}"/>
    <cellStyle name="20% - Accent1 4 4 2 2 2" xfId="17222" xr:uid="{CF0598F2-E4AA-483C-B5EC-EE3EF87897A5}"/>
    <cellStyle name="20% - Accent1 4 4 2 3" xfId="13005" xr:uid="{577695F6-8BB9-4317-8578-D31BBE67588A}"/>
    <cellStyle name="20% - Accent1 4 4 3" xfId="5751" xr:uid="{00000000-0005-0000-0000-000086000000}"/>
    <cellStyle name="20% - Accent1 4 4 3 2" xfId="15077" xr:uid="{9BAD121C-B0E5-4F38-A302-035C2E9FE34F}"/>
    <cellStyle name="20% - Accent1 4 4 4" xfId="10860" xr:uid="{E0E2E99E-4BE1-4BBB-92A1-FACB8A4B2C21}"/>
    <cellStyle name="20% - Accent1 4 5" xfId="1858" xr:uid="{00000000-0005-0000-0000-000087000000}"/>
    <cellStyle name="20% - Accent1 4 5 2" xfId="4087" xr:uid="{00000000-0005-0000-0000-000088000000}"/>
    <cellStyle name="20% - Accent1 4 5 2 2" xfId="8309" xr:uid="{00000000-0005-0000-0000-000089000000}"/>
    <cellStyle name="20% - Accent1 4 5 2 2 2" xfId="17635" xr:uid="{B7CAA096-DC19-4666-B32D-6AB73ED806B1}"/>
    <cellStyle name="20% - Accent1 4 5 2 3" xfId="13418" xr:uid="{D3B471F7-8230-45B0-B4EC-675890B61446}"/>
    <cellStyle name="20% - Accent1 4 5 3" xfId="6164" xr:uid="{00000000-0005-0000-0000-00008A000000}"/>
    <cellStyle name="20% - Accent1 4 5 3 2" xfId="15490" xr:uid="{E52E7A05-52AF-4147-92BE-1537CF2A1775}"/>
    <cellStyle name="20% - Accent1 4 5 4" xfId="11273" xr:uid="{EF9DFF99-B5AC-4954-8070-1B6F6A6487DA}"/>
    <cellStyle name="20% - Accent1 4 6" xfId="2271" xr:uid="{00000000-0005-0000-0000-00008B000000}"/>
    <cellStyle name="20% - Accent1 4 6 2" xfId="6577" xr:uid="{00000000-0005-0000-0000-00008C000000}"/>
    <cellStyle name="20% - Accent1 4 6 2 2" xfId="15903" xr:uid="{88B4DD59-EC53-4200-8E0E-1F2517DDDED5}"/>
    <cellStyle name="20% - Accent1 4 6 3" xfId="11686" xr:uid="{68E3FBAE-EFC7-4763-978E-E3C3587D35F1}"/>
    <cellStyle name="20% - Accent1 4 7" xfId="4511" xr:uid="{00000000-0005-0000-0000-00008D000000}"/>
    <cellStyle name="20% - Accent1 4 7 2" xfId="13837" xr:uid="{647C5BC6-E526-4B70-B28F-9126906FD1C2}"/>
    <cellStyle name="20% - Accent1 4 8" xfId="8947" xr:uid="{1FCDBFE2-CC86-42DD-AD9B-D3EAF476002E}"/>
    <cellStyle name="20% - Accent1 4 8 2" xfId="18271" xr:uid="{EB1305E8-F88C-45CE-8E54-3CFD628D69FA}"/>
    <cellStyle name="20% - Accent1 4 9" xfId="9620" xr:uid="{0B329B6F-E3EF-44CF-853E-AF2AA48011C2}"/>
    <cellStyle name="20% - Accent1 5" xfId="570" xr:uid="{00000000-0005-0000-0000-00008E000000}"/>
    <cellStyle name="20% - Accent1 5 2" xfId="2841" xr:uid="{00000000-0005-0000-0000-00008F000000}"/>
    <cellStyle name="20% - Accent1 5 2 2" xfId="7063" xr:uid="{00000000-0005-0000-0000-000090000000}"/>
    <cellStyle name="20% - Accent1 5 2 2 2" xfId="16389" xr:uid="{299475B7-941E-4942-B5D8-629223D4A1CE}"/>
    <cellStyle name="20% - Accent1 5 2 3" xfId="12172" xr:uid="{86595334-5BB0-45DC-8192-9BE5E2EE07FF}"/>
    <cellStyle name="20% - Accent1 5 3" xfId="4918" xr:uid="{00000000-0005-0000-0000-000091000000}"/>
    <cellStyle name="20% - Accent1 5 3 2" xfId="14244" xr:uid="{2EBDB67D-9B33-4495-A30B-82F972DEFB0E}"/>
    <cellStyle name="20% - Accent1 5 4" xfId="9180" xr:uid="{D0AEF57E-25E3-47C5-B910-DC1A0019F498}"/>
    <cellStyle name="20% - Accent1 5 4 2" xfId="18498" xr:uid="{8DB4F140-36EC-4CAD-B11E-B8F1945C2745}"/>
    <cellStyle name="20% - Accent1 5 5" xfId="10027" xr:uid="{A2D09165-E084-4048-BF13-E090406F889F}"/>
    <cellStyle name="20% - Accent1 6" xfId="1023" xr:uid="{00000000-0005-0000-0000-000092000000}"/>
    <cellStyle name="20% - Accent1 6 2" xfId="3254" xr:uid="{00000000-0005-0000-0000-000093000000}"/>
    <cellStyle name="20% - Accent1 6 2 2" xfId="7476" xr:uid="{00000000-0005-0000-0000-000094000000}"/>
    <cellStyle name="20% - Accent1 6 2 2 2" xfId="16802" xr:uid="{58C9EFB2-BD62-49C8-9248-65150A32164A}"/>
    <cellStyle name="20% - Accent1 6 2 3" xfId="12585" xr:uid="{5A33843C-E33E-4B5B-A46B-FACAC3855A4C}"/>
    <cellStyle name="20% - Accent1 6 3" xfId="5331" xr:uid="{00000000-0005-0000-0000-000095000000}"/>
    <cellStyle name="20% - Accent1 6 3 2" xfId="14657" xr:uid="{31B5147D-8432-457D-9917-FC2363C13714}"/>
    <cellStyle name="20% - Accent1 6 4" xfId="10440" xr:uid="{5B720530-4A0E-485B-9E89-AD8E040EE1FC}"/>
    <cellStyle name="20% - Accent1 7" xfId="1437" xr:uid="{00000000-0005-0000-0000-000096000000}"/>
    <cellStyle name="20% - Accent1 7 2" xfId="3667" xr:uid="{00000000-0005-0000-0000-000097000000}"/>
    <cellStyle name="20% - Accent1 7 2 2" xfId="7889" xr:uid="{00000000-0005-0000-0000-000098000000}"/>
    <cellStyle name="20% - Accent1 7 2 2 2" xfId="17215" xr:uid="{BBE5F1FC-554F-41E5-B091-B87E0B338E76}"/>
    <cellStyle name="20% - Accent1 7 2 3" xfId="12998" xr:uid="{E411EF20-2F53-42E0-B1D0-AD4AAE40D9A0}"/>
    <cellStyle name="20% - Accent1 7 3" xfId="5744" xr:uid="{00000000-0005-0000-0000-000099000000}"/>
    <cellStyle name="20% - Accent1 7 3 2" xfId="15070" xr:uid="{1E67479D-EAFB-42DE-A61E-E966D954EDFE}"/>
    <cellStyle name="20% - Accent1 7 4" xfId="10853" xr:uid="{B6C0F6E1-21DE-40D2-96DC-D85CD3B12995}"/>
    <cellStyle name="20% - Accent1 8" xfId="1851" xr:uid="{00000000-0005-0000-0000-00009A000000}"/>
    <cellStyle name="20% - Accent1 8 2" xfId="4080" xr:uid="{00000000-0005-0000-0000-00009B000000}"/>
    <cellStyle name="20% - Accent1 8 2 2" xfId="8302" xr:uid="{00000000-0005-0000-0000-00009C000000}"/>
    <cellStyle name="20% - Accent1 8 2 2 2" xfId="17628" xr:uid="{861F0F65-9FBD-46B2-8980-9CABD4A8311C}"/>
    <cellStyle name="20% - Accent1 8 2 3" xfId="13411" xr:uid="{281DCC5D-4D6A-4670-91D4-263F151D3706}"/>
    <cellStyle name="20% - Accent1 8 3" xfId="6157" xr:uid="{00000000-0005-0000-0000-00009D000000}"/>
    <cellStyle name="20% - Accent1 8 3 2" xfId="15483" xr:uid="{1A1564E7-3FC4-4176-BA42-D534A34FDC41}"/>
    <cellStyle name="20% - Accent1 8 4" xfId="11266" xr:uid="{720C9EDA-CFDE-45FF-BD70-262F53ADB90D}"/>
    <cellStyle name="20% - Accent1 9" xfId="2264" xr:uid="{00000000-0005-0000-0000-00009E000000}"/>
    <cellStyle name="20% - Accent1 9 2" xfId="6570" xr:uid="{00000000-0005-0000-0000-00009F000000}"/>
    <cellStyle name="20% - Accent1 9 2 2" xfId="15896" xr:uid="{DB7275C0-A756-453B-9B9B-FD00872AD0B2}"/>
    <cellStyle name="20% - Accent1 9 3" xfId="11679" xr:uid="{5F2C18DD-6CF2-49A4-B838-8953C3E684DE}"/>
    <cellStyle name="20% - Accent2" xfId="9" builtinId="34" customBuiltin="1"/>
    <cellStyle name="20% - Accent2 10" xfId="4512" xr:uid="{00000000-0005-0000-0000-0000A1000000}"/>
    <cellStyle name="20% - Accent2 10 2" xfId="13838" xr:uid="{A39130A7-F421-4B41-B357-26AD0FE3D71D}"/>
    <cellStyle name="20% - Accent2 11" xfId="8760" xr:uid="{2F9D8AF1-C115-467C-ADFB-3BF13039D076}"/>
    <cellStyle name="20% - Accent2 11 2" xfId="18084" xr:uid="{BDC1DF8D-DEC1-4F12-8539-C36D34FE2B40}"/>
    <cellStyle name="20% - Accent2 12" xfId="9621" xr:uid="{92ECD752-B235-49DE-A29C-D4A3AEC4735E}"/>
    <cellStyle name="20% - Accent2 2" xfId="10" xr:uid="{00000000-0005-0000-0000-0000A2000000}"/>
    <cellStyle name="20% - Accent2 2 10" xfId="8793" xr:uid="{AA7C3473-3A75-4F75-9E25-D7658C57F3A0}"/>
    <cellStyle name="20% - Accent2 2 10 2" xfId="18117" xr:uid="{5095E589-F6E2-4363-9DB4-04527450178B}"/>
    <cellStyle name="20% - Accent2 2 11" xfId="9622" xr:uid="{326365CC-3189-4200-B919-B094D124C279}"/>
    <cellStyle name="20% - Accent2 2 2" xfId="11" xr:uid="{00000000-0005-0000-0000-0000A3000000}"/>
    <cellStyle name="20% - Accent2 2 2 10" xfId="9623" xr:uid="{52D72158-3D83-46B5-847A-9A556B98F7BA}"/>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2 2 2" xfId="16400" xr:uid="{5A2C74CA-4935-47E7-B661-AE83FE416C69}"/>
    <cellStyle name="20% - Accent2 2 2 2 2 2 3" xfId="12183" xr:uid="{B598E96A-4231-4548-98AD-041D1E3BA12D}"/>
    <cellStyle name="20% - Accent2 2 2 2 2 3" xfId="4929" xr:uid="{00000000-0005-0000-0000-0000A8000000}"/>
    <cellStyle name="20% - Accent2 2 2 2 2 3 2" xfId="14255" xr:uid="{2031EF5E-E0AB-4BCD-9F2C-278C4ECD64EB}"/>
    <cellStyle name="20% - Accent2 2 2 2 2 4" xfId="9528" xr:uid="{C8BEA541-FD8B-4449-95AA-43E1904F35BB}"/>
    <cellStyle name="20% - Accent2 2 2 2 2 4 2" xfId="18843" xr:uid="{F3F0C4AD-00DD-43DD-8726-477D1A67872A}"/>
    <cellStyle name="20% - Accent2 2 2 2 2 5" xfId="10038" xr:uid="{6EA3899E-56A7-4617-8341-F5E5B7D96B78}"/>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2 2 2" xfId="16813" xr:uid="{6DE8F16D-4A78-4CDD-8F9E-2426F5621D5F}"/>
    <cellStyle name="20% - Accent2 2 2 2 3 2 3" xfId="12596" xr:uid="{194F9183-7C23-4C73-AA44-516841E860DA}"/>
    <cellStyle name="20% - Accent2 2 2 2 3 3" xfId="5342" xr:uid="{00000000-0005-0000-0000-0000AC000000}"/>
    <cellStyle name="20% - Accent2 2 2 2 3 3 2" xfId="14668" xr:uid="{7FE3849D-E609-42B6-B536-D7341C4EEBCE}"/>
    <cellStyle name="20% - Accent2 2 2 2 3 4" xfId="10451" xr:uid="{31D927C8-0DBD-4F7F-ABCF-360EB19DEB47}"/>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2 2 2" xfId="17226" xr:uid="{6E75895F-5DEB-47B8-8BF3-A93BCADDC866}"/>
    <cellStyle name="20% - Accent2 2 2 2 4 2 3" xfId="13009" xr:uid="{EAD91356-A08B-409C-AE5E-81C33B9814C9}"/>
    <cellStyle name="20% - Accent2 2 2 2 4 3" xfId="5755" xr:uid="{00000000-0005-0000-0000-0000B0000000}"/>
    <cellStyle name="20% - Accent2 2 2 2 4 3 2" xfId="15081" xr:uid="{43CD197A-6879-44D9-A259-17618928AF0B}"/>
    <cellStyle name="20% - Accent2 2 2 2 4 4" xfId="10864" xr:uid="{5441CE15-A8D2-4408-8AD8-7FEE093E27A7}"/>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2 2 2" xfId="17639" xr:uid="{E2CBAF4F-40DC-4B34-878E-82D7091BC309}"/>
    <cellStyle name="20% - Accent2 2 2 2 5 2 3" xfId="13422" xr:uid="{B2296747-DB71-4C37-BC92-FBCCF08314B6}"/>
    <cellStyle name="20% - Accent2 2 2 2 5 3" xfId="6168" xr:uid="{00000000-0005-0000-0000-0000B4000000}"/>
    <cellStyle name="20% - Accent2 2 2 2 5 3 2" xfId="15494" xr:uid="{A5487A27-D474-4410-9987-724B5FD34F6D}"/>
    <cellStyle name="20% - Accent2 2 2 2 5 4" xfId="11277" xr:uid="{9B0C0AB9-9D2B-4AAB-B12C-98CC5AA253C6}"/>
    <cellStyle name="20% - Accent2 2 2 2 6" xfId="2275" xr:uid="{00000000-0005-0000-0000-0000B5000000}"/>
    <cellStyle name="20% - Accent2 2 2 2 6 2" xfId="6581" xr:uid="{00000000-0005-0000-0000-0000B6000000}"/>
    <cellStyle name="20% - Accent2 2 2 2 6 2 2" xfId="15907" xr:uid="{2BECA64D-D846-4B62-AF4A-15AF91AB4FE7}"/>
    <cellStyle name="20% - Accent2 2 2 2 6 3" xfId="11690" xr:uid="{0B9F41F6-62E5-499E-A525-54EE91D2A67E}"/>
    <cellStyle name="20% - Accent2 2 2 2 7" xfId="4515" xr:uid="{00000000-0005-0000-0000-0000B7000000}"/>
    <cellStyle name="20% - Accent2 2 2 2 7 2" xfId="13841" xr:uid="{697663E8-B017-4512-BBCD-22B5F18B0EA3}"/>
    <cellStyle name="20% - Accent2 2 2 2 8" xfId="9103" xr:uid="{91DB80A1-3464-4086-B948-71B6A26537C4}"/>
    <cellStyle name="20% - Accent2 2 2 2 8 2" xfId="18427" xr:uid="{F924942E-224B-44B1-8BC3-8541AA07653B}"/>
    <cellStyle name="20% - Accent2 2 2 2 9" xfId="9624" xr:uid="{4ACEA0AB-F7CA-44F4-81FE-B9EF82F62AA4}"/>
    <cellStyle name="20% - Accent2 2 2 3" xfId="580" xr:uid="{00000000-0005-0000-0000-0000B8000000}"/>
    <cellStyle name="20% - Accent2 2 2 3 2" xfId="2851" xr:uid="{00000000-0005-0000-0000-0000B9000000}"/>
    <cellStyle name="20% - Accent2 2 2 3 2 2" xfId="7073" xr:uid="{00000000-0005-0000-0000-0000BA000000}"/>
    <cellStyle name="20% - Accent2 2 2 3 2 2 2" xfId="16399" xr:uid="{A3BDDF2E-7772-4D53-845A-F359F119AE59}"/>
    <cellStyle name="20% - Accent2 2 2 3 2 3" xfId="12182" xr:uid="{0F7D0909-318B-41B0-B464-F54D2F274D37}"/>
    <cellStyle name="20% - Accent2 2 2 3 3" xfId="4928" xr:uid="{00000000-0005-0000-0000-0000BB000000}"/>
    <cellStyle name="20% - Accent2 2 2 3 3 2" xfId="14254" xr:uid="{52BE6286-E70F-4BBE-9640-F0EF130F5F0B}"/>
    <cellStyle name="20% - Accent2 2 2 3 4" xfId="9321" xr:uid="{32B21C3A-E360-4F19-B469-1116F045A0F3}"/>
    <cellStyle name="20% - Accent2 2 2 3 4 2" xfId="18636" xr:uid="{B22E1074-E5AB-4DD7-9531-F26676F5A4AB}"/>
    <cellStyle name="20% - Accent2 2 2 3 5" xfId="10037" xr:uid="{62282D00-39C9-4D79-8CCE-B7DFBE0F6B13}"/>
    <cellStyle name="20% - Accent2 2 2 4" xfId="1033" xr:uid="{00000000-0005-0000-0000-0000BC000000}"/>
    <cellStyle name="20% - Accent2 2 2 4 2" xfId="3264" xr:uid="{00000000-0005-0000-0000-0000BD000000}"/>
    <cellStyle name="20% - Accent2 2 2 4 2 2" xfId="7486" xr:uid="{00000000-0005-0000-0000-0000BE000000}"/>
    <cellStyle name="20% - Accent2 2 2 4 2 2 2" xfId="16812" xr:uid="{85E514F6-035C-44CE-A573-CF0A5B03C7DF}"/>
    <cellStyle name="20% - Accent2 2 2 4 2 3" xfId="12595" xr:uid="{34E38B36-F063-408F-92E1-153723ADA7E4}"/>
    <cellStyle name="20% - Accent2 2 2 4 3" xfId="5341" xr:uid="{00000000-0005-0000-0000-0000BF000000}"/>
    <cellStyle name="20% - Accent2 2 2 4 3 2" xfId="14667" xr:uid="{3ED40573-4C11-4D40-9DC3-B663DE00A2F8}"/>
    <cellStyle name="20% - Accent2 2 2 4 4" xfId="10450" xr:uid="{E7215B8A-D70B-4522-930A-25E4CEF45800}"/>
    <cellStyle name="20% - Accent2 2 2 5" xfId="1447" xr:uid="{00000000-0005-0000-0000-0000C0000000}"/>
    <cellStyle name="20% - Accent2 2 2 5 2" xfId="3677" xr:uid="{00000000-0005-0000-0000-0000C1000000}"/>
    <cellStyle name="20% - Accent2 2 2 5 2 2" xfId="7899" xr:uid="{00000000-0005-0000-0000-0000C2000000}"/>
    <cellStyle name="20% - Accent2 2 2 5 2 2 2" xfId="17225" xr:uid="{EC8449B7-FE48-4D1B-A0AE-37DDFEC7D2BA}"/>
    <cellStyle name="20% - Accent2 2 2 5 2 3" xfId="13008" xr:uid="{F81DEAC7-5FD3-450A-8EBA-D5DB54B84BD5}"/>
    <cellStyle name="20% - Accent2 2 2 5 3" xfId="5754" xr:uid="{00000000-0005-0000-0000-0000C3000000}"/>
    <cellStyle name="20% - Accent2 2 2 5 3 2" xfId="15080" xr:uid="{5013B473-488C-493D-BD85-ED76719DDA61}"/>
    <cellStyle name="20% - Accent2 2 2 5 4" xfId="10863" xr:uid="{9CD93C82-2B92-4BD7-B13B-7BE2B72B24DB}"/>
    <cellStyle name="20% - Accent2 2 2 6" xfId="1861" xr:uid="{00000000-0005-0000-0000-0000C4000000}"/>
    <cellStyle name="20% - Accent2 2 2 6 2" xfId="4090" xr:uid="{00000000-0005-0000-0000-0000C5000000}"/>
    <cellStyle name="20% - Accent2 2 2 6 2 2" xfId="8312" xr:uid="{00000000-0005-0000-0000-0000C6000000}"/>
    <cellStyle name="20% - Accent2 2 2 6 2 2 2" xfId="17638" xr:uid="{6D0C6D46-D225-4876-B4BE-0BFCC769BB85}"/>
    <cellStyle name="20% - Accent2 2 2 6 2 3" xfId="13421" xr:uid="{31E7A974-120D-4EED-94D7-637781F4582B}"/>
    <cellStyle name="20% - Accent2 2 2 6 3" xfId="6167" xr:uid="{00000000-0005-0000-0000-0000C7000000}"/>
    <cellStyle name="20% - Accent2 2 2 6 3 2" xfId="15493" xr:uid="{0C885340-C3D2-4440-A525-FBEC4EAA54BD}"/>
    <cellStyle name="20% - Accent2 2 2 6 4" xfId="11276" xr:uid="{24B47096-40FF-4F91-848A-BD1ADF64D8C9}"/>
    <cellStyle name="20% - Accent2 2 2 7" xfId="2274" xr:uid="{00000000-0005-0000-0000-0000C8000000}"/>
    <cellStyle name="20% - Accent2 2 2 7 2" xfId="6580" xr:uid="{00000000-0005-0000-0000-0000C9000000}"/>
    <cellStyle name="20% - Accent2 2 2 7 2 2" xfId="15906" xr:uid="{E57F310A-5DB8-4FE0-A7EC-D4B2C973BE52}"/>
    <cellStyle name="20% - Accent2 2 2 7 3" xfId="11689" xr:uid="{D06597D3-9956-44EC-96C1-E6B55875D44C}"/>
    <cellStyle name="20% - Accent2 2 2 8" xfId="4514" xr:uid="{00000000-0005-0000-0000-0000CA000000}"/>
    <cellStyle name="20% - Accent2 2 2 8 2" xfId="13840" xr:uid="{F133B59B-77E6-4FFD-A6ED-0D3366729FBB}"/>
    <cellStyle name="20% - Accent2 2 2 9" xfId="8896" xr:uid="{7CDAA0F1-5BE6-4749-AD4D-5424E0EA26D8}"/>
    <cellStyle name="20% - Accent2 2 2 9 2" xfId="18220" xr:uid="{BFD8D994-909F-4706-BD94-9EC4FF5C83EF}"/>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2 2 2" xfId="16401" xr:uid="{C5AC8B2E-5700-42F3-BEF9-03F317E71DA5}"/>
    <cellStyle name="20% - Accent2 2 3 2 2 3" xfId="12184" xr:uid="{9F490FCA-B97E-4196-8CAC-77BBEDB12EA5}"/>
    <cellStyle name="20% - Accent2 2 3 2 3" xfId="4930" xr:uid="{00000000-0005-0000-0000-0000CF000000}"/>
    <cellStyle name="20% - Accent2 2 3 2 3 2" xfId="14256" xr:uid="{6D086353-43A4-4AAA-88DF-91E36C75F8DB}"/>
    <cellStyle name="20% - Accent2 2 3 2 4" xfId="9425" xr:uid="{35BECFF4-0F5A-4F6E-AE6E-354891135B4F}"/>
    <cellStyle name="20% - Accent2 2 3 2 4 2" xfId="18740" xr:uid="{E6B8C2D4-B5FC-4041-B2D4-2D221EF078C8}"/>
    <cellStyle name="20% - Accent2 2 3 2 5" xfId="10039" xr:uid="{0CB2981F-5AC0-4AFA-A8E4-A11A81FD1076}"/>
    <cellStyle name="20% - Accent2 2 3 3" xfId="1035" xr:uid="{00000000-0005-0000-0000-0000D0000000}"/>
    <cellStyle name="20% - Accent2 2 3 3 2" xfId="3266" xr:uid="{00000000-0005-0000-0000-0000D1000000}"/>
    <cellStyle name="20% - Accent2 2 3 3 2 2" xfId="7488" xr:uid="{00000000-0005-0000-0000-0000D2000000}"/>
    <cellStyle name="20% - Accent2 2 3 3 2 2 2" xfId="16814" xr:uid="{604B763B-B5D8-4B0D-AADE-9407BC600649}"/>
    <cellStyle name="20% - Accent2 2 3 3 2 3" xfId="12597" xr:uid="{0F21B413-897A-4C27-A1AC-7C4E512A4C88}"/>
    <cellStyle name="20% - Accent2 2 3 3 3" xfId="5343" xr:uid="{00000000-0005-0000-0000-0000D3000000}"/>
    <cellStyle name="20% - Accent2 2 3 3 3 2" xfId="14669" xr:uid="{37E46F42-0B38-4392-BF6D-AA54654E707A}"/>
    <cellStyle name="20% - Accent2 2 3 3 4" xfId="10452" xr:uid="{26DDA11E-9908-4698-BC33-91E44299ACB8}"/>
    <cellStyle name="20% - Accent2 2 3 4" xfId="1449" xr:uid="{00000000-0005-0000-0000-0000D4000000}"/>
    <cellStyle name="20% - Accent2 2 3 4 2" xfId="3679" xr:uid="{00000000-0005-0000-0000-0000D5000000}"/>
    <cellStyle name="20% - Accent2 2 3 4 2 2" xfId="7901" xr:uid="{00000000-0005-0000-0000-0000D6000000}"/>
    <cellStyle name="20% - Accent2 2 3 4 2 2 2" xfId="17227" xr:uid="{854D6EF1-2711-43D2-BD20-8B1B135A51C8}"/>
    <cellStyle name="20% - Accent2 2 3 4 2 3" xfId="13010" xr:uid="{6FC24171-9329-48FC-8975-18BD2DC000EE}"/>
    <cellStyle name="20% - Accent2 2 3 4 3" xfId="5756" xr:uid="{00000000-0005-0000-0000-0000D7000000}"/>
    <cellStyle name="20% - Accent2 2 3 4 3 2" xfId="15082" xr:uid="{8B336488-E04D-48D6-98D9-A9FF37C3B2FA}"/>
    <cellStyle name="20% - Accent2 2 3 4 4" xfId="10865" xr:uid="{C7514821-2EC4-4316-BC1C-5D3A9E419284}"/>
    <cellStyle name="20% - Accent2 2 3 5" xfId="1863" xr:uid="{00000000-0005-0000-0000-0000D8000000}"/>
    <cellStyle name="20% - Accent2 2 3 5 2" xfId="4092" xr:uid="{00000000-0005-0000-0000-0000D9000000}"/>
    <cellStyle name="20% - Accent2 2 3 5 2 2" xfId="8314" xr:uid="{00000000-0005-0000-0000-0000DA000000}"/>
    <cellStyle name="20% - Accent2 2 3 5 2 2 2" xfId="17640" xr:uid="{2E426C02-00C4-4ACA-887C-DE8F5F9CE67C}"/>
    <cellStyle name="20% - Accent2 2 3 5 2 3" xfId="13423" xr:uid="{7EA47B4B-D3DD-426F-8944-16E7EDA30520}"/>
    <cellStyle name="20% - Accent2 2 3 5 3" xfId="6169" xr:uid="{00000000-0005-0000-0000-0000DB000000}"/>
    <cellStyle name="20% - Accent2 2 3 5 3 2" xfId="15495" xr:uid="{1E2CFFBE-3C78-48E1-89BB-1816B85C6FE9}"/>
    <cellStyle name="20% - Accent2 2 3 5 4" xfId="11278" xr:uid="{3DFF4E86-26F7-428C-9B45-0CEDC4DD7311}"/>
    <cellStyle name="20% - Accent2 2 3 6" xfId="2276" xr:uid="{00000000-0005-0000-0000-0000DC000000}"/>
    <cellStyle name="20% - Accent2 2 3 6 2" xfId="6582" xr:uid="{00000000-0005-0000-0000-0000DD000000}"/>
    <cellStyle name="20% - Accent2 2 3 6 2 2" xfId="15908" xr:uid="{DC5C44B6-88BA-4F10-A8A3-93561FFD99FA}"/>
    <cellStyle name="20% - Accent2 2 3 6 3" xfId="11691" xr:uid="{B49483D4-6612-42BA-8665-60F2338DF5B2}"/>
    <cellStyle name="20% - Accent2 2 3 7" xfId="4516" xr:uid="{00000000-0005-0000-0000-0000DE000000}"/>
    <cellStyle name="20% - Accent2 2 3 7 2" xfId="13842" xr:uid="{60C5D283-F3A3-465A-B150-527AF59E2B17}"/>
    <cellStyle name="20% - Accent2 2 3 8" xfId="9000" xr:uid="{133DFC5C-F2FF-49E9-82EE-ABAA9C815393}"/>
    <cellStyle name="20% - Accent2 2 3 8 2" xfId="18324" xr:uid="{C6171F58-A5E0-4C57-8DC7-842B58DC90ED}"/>
    <cellStyle name="20% - Accent2 2 3 9" xfId="9625" xr:uid="{9CF2149D-4DB8-456A-90CA-0F58DBAC2242}"/>
    <cellStyle name="20% - Accent2 2 4" xfId="579" xr:uid="{00000000-0005-0000-0000-0000DF000000}"/>
    <cellStyle name="20% - Accent2 2 4 2" xfId="2850" xr:uid="{00000000-0005-0000-0000-0000E0000000}"/>
    <cellStyle name="20% - Accent2 2 4 2 2" xfId="7072" xr:uid="{00000000-0005-0000-0000-0000E1000000}"/>
    <cellStyle name="20% - Accent2 2 4 2 2 2" xfId="16398" xr:uid="{7700428C-4870-435F-8256-B0D3A12CF219}"/>
    <cellStyle name="20% - Accent2 2 4 2 3" xfId="12181" xr:uid="{39AFCC45-D495-4F97-AFC6-825698F08274}"/>
    <cellStyle name="20% - Accent2 2 4 3" xfId="4927" xr:uid="{00000000-0005-0000-0000-0000E2000000}"/>
    <cellStyle name="20% - Accent2 2 4 3 2" xfId="14253" xr:uid="{E2581421-6B5A-4027-98F7-C7DF7CCA96FE}"/>
    <cellStyle name="20% - Accent2 2 4 4" xfId="9217" xr:uid="{28DDC3F5-BA57-40F8-8D06-6CFF141CF9A1}"/>
    <cellStyle name="20% - Accent2 2 4 4 2" xfId="18533" xr:uid="{3099E533-5B66-485D-922E-9AF20CB1D3F0}"/>
    <cellStyle name="20% - Accent2 2 4 5" xfId="10036" xr:uid="{1C9FFBD3-53A9-4567-9F10-F954DDC25EF6}"/>
    <cellStyle name="20% - Accent2 2 5" xfId="1032" xr:uid="{00000000-0005-0000-0000-0000E3000000}"/>
    <cellStyle name="20% - Accent2 2 5 2" xfId="3263" xr:uid="{00000000-0005-0000-0000-0000E4000000}"/>
    <cellStyle name="20% - Accent2 2 5 2 2" xfId="7485" xr:uid="{00000000-0005-0000-0000-0000E5000000}"/>
    <cellStyle name="20% - Accent2 2 5 2 2 2" xfId="16811" xr:uid="{49E9B178-A24F-4282-98F1-BD11B30B972F}"/>
    <cellStyle name="20% - Accent2 2 5 2 3" xfId="12594" xr:uid="{0FAD8407-B06D-4C15-BD72-53F6C62C5416}"/>
    <cellStyle name="20% - Accent2 2 5 3" xfId="5340" xr:uid="{00000000-0005-0000-0000-0000E6000000}"/>
    <cellStyle name="20% - Accent2 2 5 3 2" xfId="14666" xr:uid="{6513DBF8-4D02-4828-AB5E-81E6ED9BF889}"/>
    <cellStyle name="20% - Accent2 2 5 4" xfId="10449" xr:uid="{3B4A9CB8-BC7E-460A-B235-8E3A173D3602}"/>
    <cellStyle name="20% - Accent2 2 6" xfId="1446" xr:uid="{00000000-0005-0000-0000-0000E7000000}"/>
    <cellStyle name="20% - Accent2 2 6 2" xfId="3676" xr:uid="{00000000-0005-0000-0000-0000E8000000}"/>
    <cellStyle name="20% - Accent2 2 6 2 2" xfId="7898" xr:uid="{00000000-0005-0000-0000-0000E9000000}"/>
    <cellStyle name="20% - Accent2 2 6 2 2 2" xfId="17224" xr:uid="{C2D40248-E562-49FA-8F81-319130C8004B}"/>
    <cellStyle name="20% - Accent2 2 6 2 3" xfId="13007" xr:uid="{EEBB048C-DDDE-4E74-8CAB-8E67822C0DF6}"/>
    <cellStyle name="20% - Accent2 2 6 3" xfId="5753" xr:uid="{00000000-0005-0000-0000-0000EA000000}"/>
    <cellStyle name="20% - Accent2 2 6 3 2" xfId="15079" xr:uid="{D9B58A05-7BB6-44E7-886A-2923ABC19BA0}"/>
    <cellStyle name="20% - Accent2 2 6 4" xfId="10862" xr:uid="{C95EFD80-19B1-49EF-9B66-58BADA8D9584}"/>
    <cellStyle name="20% - Accent2 2 7" xfId="1860" xr:uid="{00000000-0005-0000-0000-0000EB000000}"/>
    <cellStyle name="20% - Accent2 2 7 2" xfId="4089" xr:uid="{00000000-0005-0000-0000-0000EC000000}"/>
    <cellStyle name="20% - Accent2 2 7 2 2" xfId="8311" xr:uid="{00000000-0005-0000-0000-0000ED000000}"/>
    <cellStyle name="20% - Accent2 2 7 2 2 2" xfId="17637" xr:uid="{0F1257FC-7B92-437D-A7EA-F0BA10F816D2}"/>
    <cellStyle name="20% - Accent2 2 7 2 3" xfId="13420" xr:uid="{D60B63B9-D0BB-4CEF-B4CB-9F66368A280B}"/>
    <cellStyle name="20% - Accent2 2 7 3" xfId="6166" xr:uid="{00000000-0005-0000-0000-0000EE000000}"/>
    <cellStyle name="20% - Accent2 2 7 3 2" xfId="15492" xr:uid="{3B45D56A-BD60-4283-84C5-4DC98D27F279}"/>
    <cellStyle name="20% - Accent2 2 7 4" xfId="11275" xr:uid="{0A77A1F9-F231-41DD-9E1E-70B1CFA433ED}"/>
    <cellStyle name="20% - Accent2 2 8" xfId="2273" xr:uid="{00000000-0005-0000-0000-0000EF000000}"/>
    <cellStyle name="20% - Accent2 2 8 2" xfId="6579" xr:uid="{00000000-0005-0000-0000-0000F0000000}"/>
    <cellStyle name="20% - Accent2 2 8 2 2" xfId="15905" xr:uid="{630CD8D0-4F35-489E-A280-A353BB834900}"/>
    <cellStyle name="20% - Accent2 2 8 3" xfId="11688" xr:uid="{44AC6CFC-7763-4455-98EB-25EFD62FD8AE}"/>
    <cellStyle name="20% - Accent2 2 9" xfId="4513" xr:uid="{00000000-0005-0000-0000-0000F1000000}"/>
    <cellStyle name="20% - Accent2 2 9 2" xfId="13839" xr:uid="{1C02DCD6-36D1-49DE-9E3C-152E43E2ECAB}"/>
    <cellStyle name="20% - Accent2 3" xfId="14" xr:uid="{00000000-0005-0000-0000-0000F2000000}"/>
    <cellStyle name="20% - Accent2 3 10" xfId="9626" xr:uid="{CF330578-687A-44D0-8BC5-775639FF25DE}"/>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2 2 2" xfId="16403" xr:uid="{D9A266E7-72D4-47A2-9C90-F3AE8B3DB8FF}"/>
    <cellStyle name="20% - Accent2 3 2 2 2 3" xfId="12186" xr:uid="{E829B0E1-AA66-4457-A5E9-09C75F9B450F}"/>
    <cellStyle name="20% - Accent2 3 2 2 3" xfId="4932" xr:uid="{00000000-0005-0000-0000-0000F7000000}"/>
    <cellStyle name="20% - Accent2 3 2 2 3 2" xfId="14258" xr:uid="{26F6DC0E-F315-4265-9DC3-88DD00BAB521}"/>
    <cellStyle name="20% - Accent2 3 2 2 4" xfId="9495" xr:uid="{9F5A6FE7-BBC9-4787-8EC4-2112F4D5A0EA}"/>
    <cellStyle name="20% - Accent2 3 2 2 4 2" xfId="18810" xr:uid="{A8F36821-F775-42E7-A99B-DCBE6E14D4EC}"/>
    <cellStyle name="20% - Accent2 3 2 2 5" xfId="10041" xr:uid="{91A1FC38-9543-43FF-8DA9-DF824F7EC1D4}"/>
    <cellStyle name="20% - Accent2 3 2 3" xfId="1037" xr:uid="{00000000-0005-0000-0000-0000F8000000}"/>
    <cellStyle name="20% - Accent2 3 2 3 2" xfId="3268" xr:uid="{00000000-0005-0000-0000-0000F9000000}"/>
    <cellStyle name="20% - Accent2 3 2 3 2 2" xfId="7490" xr:uid="{00000000-0005-0000-0000-0000FA000000}"/>
    <cellStyle name="20% - Accent2 3 2 3 2 2 2" xfId="16816" xr:uid="{E5EBF3FB-E3AA-4556-B15F-C4B82224BED4}"/>
    <cellStyle name="20% - Accent2 3 2 3 2 3" xfId="12599" xr:uid="{809A5ECB-7287-4064-B5FF-2B96BC512785}"/>
    <cellStyle name="20% - Accent2 3 2 3 3" xfId="5345" xr:uid="{00000000-0005-0000-0000-0000FB000000}"/>
    <cellStyle name="20% - Accent2 3 2 3 3 2" xfId="14671" xr:uid="{5B1B6C77-6E9B-4EF9-9031-846B9B336B3A}"/>
    <cellStyle name="20% - Accent2 3 2 3 4" xfId="10454" xr:uid="{85AD4BB1-96CF-40F4-947E-AF724B4732C1}"/>
    <cellStyle name="20% - Accent2 3 2 4" xfId="1451" xr:uid="{00000000-0005-0000-0000-0000FC000000}"/>
    <cellStyle name="20% - Accent2 3 2 4 2" xfId="3681" xr:uid="{00000000-0005-0000-0000-0000FD000000}"/>
    <cellStyle name="20% - Accent2 3 2 4 2 2" xfId="7903" xr:uid="{00000000-0005-0000-0000-0000FE000000}"/>
    <cellStyle name="20% - Accent2 3 2 4 2 2 2" xfId="17229" xr:uid="{0E024DB3-CE9D-4CAA-9FE3-05CDE73A6B6A}"/>
    <cellStyle name="20% - Accent2 3 2 4 2 3" xfId="13012" xr:uid="{7ACA5277-0AEC-4019-85E0-613D1DA7225C}"/>
    <cellStyle name="20% - Accent2 3 2 4 3" xfId="5758" xr:uid="{00000000-0005-0000-0000-0000FF000000}"/>
    <cellStyle name="20% - Accent2 3 2 4 3 2" xfId="15084" xr:uid="{E4857319-5F73-4CF4-AE70-6DB9CE552320}"/>
    <cellStyle name="20% - Accent2 3 2 4 4" xfId="10867" xr:uid="{CAF334A3-9C42-4884-9271-B97234E7EDA0}"/>
    <cellStyle name="20% - Accent2 3 2 5" xfId="1865" xr:uid="{00000000-0005-0000-0000-000000010000}"/>
    <cellStyle name="20% - Accent2 3 2 5 2" xfId="4094" xr:uid="{00000000-0005-0000-0000-000001010000}"/>
    <cellStyle name="20% - Accent2 3 2 5 2 2" xfId="8316" xr:uid="{00000000-0005-0000-0000-000002010000}"/>
    <cellStyle name="20% - Accent2 3 2 5 2 2 2" xfId="17642" xr:uid="{5AAA0648-71E7-4952-9CC2-6893112D9808}"/>
    <cellStyle name="20% - Accent2 3 2 5 2 3" xfId="13425" xr:uid="{CD1259B2-AE4E-484C-88A4-2CD6A60E37DA}"/>
    <cellStyle name="20% - Accent2 3 2 5 3" xfId="6171" xr:uid="{00000000-0005-0000-0000-000003010000}"/>
    <cellStyle name="20% - Accent2 3 2 5 3 2" xfId="15497" xr:uid="{B94BA114-E252-417F-B12C-E76827FBDAA0}"/>
    <cellStyle name="20% - Accent2 3 2 5 4" xfId="11280" xr:uid="{D5DC094B-231D-4FBE-B5FD-0FED4D80AE21}"/>
    <cellStyle name="20% - Accent2 3 2 6" xfId="2278" xr:uid="{00000000-0005-0000-0000-000004010000}"/>
    <cellStyle name="20% - Accent2 3 2 6 2" xfId="6584" xr:uid="{00000000-0005-0000-0000-000005010000}"/>
    <cellStyle name="20% - Accent2 3 2 6 2 2" xfId="15910" xr:uid="{3CF2F43B-A3C6-43B5-A207-87CCF790BA93}"/>
    <cellStyle name="20% - Accent2 3 2 6 3" xfId="11693" xr:uid="{10B9E98B-4159-48FB-8460-4C2EABD02081}"/>
    <cellStyle name="20% - Accent2 3 2 7" xfId="4518" xr:uid="{00000000-0005-0000-0000-000006010000}"/>
    <cellStyle name="20% - Accent2 3 2 7 2" xfId="13844" xr:uid="{726ECA79-F535-44C1-9ECC-849A2087FE46}"/>
    <cellStyle name="20% - Accent2 3 2 8" xfId="9070" xr:uid="{8A9168BA-490F-4E57-83EA-22187D24153F}"/>
    <cellStyle name="20% - Accent2 3 2 8 2" xfId="18394" xr:uid="{29DDBC06-2839-4B94-9B90-1E3BB4E04DFB}"/>
    <cellStyle name="20% - Accent2 3 2 9" xfId="9627" xr:uid="{C997B9ED-8C1C-4020-84E2-7AA09CFE5E7F}"/>
    <cellStyle name="20% - Accent2 3 3" xfId="583" xr:uid="{00000000-0005-0000-0000-000007010000}"/>
    <cellStyle name="20% - Accent2 3 3 2" xfId="2854" xr:uid="{00000000-0005-0000-0000-000008010000}"/>
    <cellStyle name="20% - Accent2 3 3 2 2" xfId="7076" xr:uid="{00000000-0005-0000-0000-000009010000}"/>
    <cellStyle name="20% - Accent2 3 3 2 2 2" xfId="16402" xr:uid="{1D214337-5F67-4CA4-A8BD-1D9CA9BF35A1}"/>
    <cellStyle name="20% - Accent2 3 3 2 3" xfId="12185" xr:uid="{F26AC470-C86D-452A-8ACA-6ED458490F6D}"/>
    <cellStyle name="20% - Accent2 3 3 3" xfId="4931" xr:uid="{00000000-0005-0000-0000-00000A010000}"/>
    <cellStyle name="20% - Accent2 3 3 3 2" xfId="14257" xr:uid="{5E49D888-81C1-4B2F-A6A8-E50CAA7DB850}"/>
    <cellStyle name="20% - Accent2 3 3 4" xfId="9288" xr:uid="{FCD70616-ECAD-4A0B-889F-4698E1AD889E}"/>
    <cellStyle name="20% - Accent2 3 3 4 2" xfId="18603" xr:uid="{9F0C377B-FFB4-4B71-BB3B-D5AD381C9781}"/>
    <cellStyle name="20% - Accent2 3 3 5" xfId="10040" xr:uid="{B914FC0B-1437-48B3-96D6-8AD2EA0948F0}"/>
    <cellStyle name="20% - Accent2 3 4" xfId="1036" xr:uid="{00000000-0005-0000-0000-00000B010000}"/>
    <cellStyle name="20% - Accent2 3 4 2" xfId="3267" xr:uid="{00000000-0005-0000-0000-00000C010000}"/>
    <cellStyle name="20% - Accent2 3 4 2 2" xfId="7489" xr:uid="{00000000-0005-0000-0000-00000D010000}"/>
    <cellStyle name="20% - Accent2 3 4 2 2 2" xfId="16815" xr:uid="{BFAEE5ED-8FDE-405A-A9D4-97A3E3247CA8}"/>
    <cellStyle name="20% - Accent2 3 4 2 3" xfId="12598" xr:uid="{97A9B0A9-60C1-4AEC-BFE1-FC6699410BC8}"/>
    <cellStyle name="20% - Accent2 3 4 3" xfId="5344" xr:uid="{00000000-0005-0000-0000-00000E010000}"/>
    <cellStyle name="20% - Accent2 3 4 3 2" xfId="14670" xr:uid="{E320A972-F1BA-40EE-8D71-9FA1725B230F}"/>
    <cellStyle name="20% - Accent2 3 4 4" xfId="10453" xr:uid="{FDCDD159-9E16-4912-995A-E1F3BC32992C}"/>
    <cellStyle name="20% - Accent2 3 5" xfId="1450" xr:uid="{00000000-0005-0000-0000-00000F010000}"/>
    <cellStyle name="20% - Accent2 3 5 2" xfId="3680" xr:uid="{00000000-0005-0000-0000-000010010000}"/>
    <cellStyle name="20% - Accent2 3 5 2 2" xfId="7902" xr:uid="{00000000-0005-0000-0000-000011010000}"/>
    <cellStyle name="20% - Accent2 3 5 2 2 2" xfId="17228" xr:uid="{CBA1F5AB-A215-4995-B138-AB29CB5934BB}"/>
    <cellStyle name="20% - Accent2 3 5 2 3" xfId="13011" xr:uid="{A584F920-5ABF-426C-819C-93457F396405}"/>
    <cellStyle name="20% - Accent2 3 5 3" xfId="5757" xr:uid="{00000000-0005-0000-0000-000012010000}"/>
    <cellStyle name="20% - Accent2 3 5 3 2" xfId="15083" xr:uid="{F8DBD262-9BBE-4587-A0EB-A40D79B8373E}"/>
    <cellStyle name="20% - Accent2 3 5 4" xfId="10866" xr:uid="{CA312FBA-E797-4EC1-B68E-0DF927B0D446}"/>
    <cellStyle name="20% - Accent2 3 6" xfId="1864" xr:uid="{00000000-0005-0000-0000-000013010000}"/>
    <cellStyle name="20% - Accent2 3 6 2" xfId="4093" xr:uid="{00000000-0005-0000-0000-000014010000}"/>
    <cellStyle name="20% - Accent2 3 6 2 2" xfId="8315" xr:uid="{00000000-0005-0000-0000-000015010000}"/>
    <cellStyle name="20% - Accent2 3 6 2 2 2" xfId="17641" xr:uid="{DDCAC90A-B13E-4BEA-8C74-CCD432B8C1C9}"/>
    <cellStyle name="20% - Accent2 3 6 2 3" xfId="13424" xr:uid="{E519C6EE-5568-4355-BE87-B2DBD2F04A2B}"/>
    <cellStyle name="20% - Accent2 3 6 3" xfId="6170" xr:uid="{00000000-0005-0000-0000-000016010000}"/>
    <cellStyle name="20% - Accent2 3 6 3 2" xfId="15496" xr:uid="{C4602C2A-14B5-4A0B-A44E-4AB5596BE7A3}"/>
    <cellStyle name="20% - Accent2 3 6 4" xfId="11279" xr:uid="{7FB8C97D-FDC9-4165-8AC7-45FB1C6A0183}"/>
    <cellStyle name="20% - Accent2 3 7" xfId="2277" xr:uid="{00000000-0005-0000-0000-000017010000}"/>
    <cellStyle name="20% - Accent2 3 7 2" xfId="6583" xr:uid="{00000000-0005-0000-0000-000018010000}"/>
    <cellStyle name="20% - Accent2 3 7 2 2" xfId="15909" xr:uid="{BEB29F7D-EC9E-4382-A8FD-3F31ECBF1C10}"/>
    <cellStyle name="20% - Accent2 3 7 3" xfId="11692" xr:uid="{B672E198-6262-43B0-8727-50AF8E852498}"/>
    <cellStyle name="20% - Accent2 3 8" xfId="4517" xr:uid="{00000000-0005-0000-0000-000019010000}"/>
    <cellStyle name="20% - Accent2 3 8 2" xfId="13843" xr:uid="{79ECB9B0-1845-40FA-884C-0D0222659B47}"/>
    <cellStyle name="20% - Accent2 3 9" xfId="8863" xr:uid="{C6A258FB-33DC-4171-B9DD-C29513CA80FD}"/>
    <cellStyle name="20% - Accent2 3 9 2" xfId="18187" xr:uid="{7A026305-E26F-47F6-90DE-443AE5AA2852}"/>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2 2 2" xfId="16404" xr:uid="{E58F65F0-9223-43D3-96A6-6CA552738D75}"/>
    <cellStyle name="20% - Accent2 4 2 2 3" xfId="12187" xr:uid="{EEF5D288-E155-4F56-BE46-B55EA4472A76}"/>
    <cellStyle name="20% - Accent2 4 2 3" xfId="4933" xr:uid="{00000000-0005-0000-0000-00001E010000}"/>
    <cellStyle name="20% - Accent2 4 2 3 2" xfId="14259" xr:uid="{D20D9BCD-A085-4D07-90A1-D7B11E56182E}"/>
    <cellStyle name="20% - Accent2 4 2 4" xfId="9374" xr:uid="{26FD7A0E-8D04-4AF7-B092-2B22A78F0A97}"/>
    <cellStyle name="20% - Accent2 4 2 4 2" xfId="18689" xr:uid="{2A7F0712-3FB7-489F-BD4E-D13C62072002}"/>
    <cellStyle name="20% - Accent2 4 2 5" xfId="10042" xr:uid="{28484C7F-2C1A-4A68-A7C5-7ECCBFA796D6}"/>
    <cellStyle name="20% - Accent2 4 3" xfId="1038" xr:uid="{00000000-0005-0000-0000-00001F010000}"/>
    <cellStyle name="20% - Accent2 4 3 2" xfId="3269" xr:uid="{00000000-0005-0000-0000-000020010000}"/>
    <cellStyle name="20% - Accent2 4 3 2 2" xfId="7491" xr:uid="{00000000-0005-0000-0000-000021010000}"/>
    <cellStyle name="20% - Accent2 4 3 2 2 2" xfId="16817" xr:uid="{32AA6804-6F87-4024-B172-2D485EFF29D4}"/>
    <cellStyle name="20% - Accent2 4 3 2 3" xfId="12600" xr:uid="{DCB035C2-61F1-48F4-9C1A-53A820EF7B5D}"/>
    <cellStyle name="20% - Accent2 4 3 3" xfId="5346" xr:uid="{00000000-0005-0000-0000-000022010000}"/>
    <cellStyle name="20% - Accent2 4 3 3 2" xfId="14672" xr:uid="{CB2D98DB-0DA2-4C4B-9C89-FB5832BFEC4F}"/>
    <cellStyle name="20% - Accent2 4 3 4" xfId="10455" xr:uid="{0CD6263A-8B28-4773-AE60-F67BE86212DC}"/>
    <cellStyle name="20% - Accent2 4 4" xfId="1452" xr:uid="{00000000-0005-0000-0000-000023010000}"/>
    <cellStyle name="20% - Accent2 4 4 2" xfId="3682" xr:uid="{00000000-0005-0000-0000-000024010000}"/>
    <cellStyle name="20% - Accent2 4 4 2 2" xfId="7904" xr:uid="{00000000-0005-0000-0000-000025010000}"/>
    <cellStyle name="20% - Accent2 4 4 2 2 2" xfId="17230" xr:uid="{66673CD5-BD47-4EA2-8BF2-80FDED641AE6}"/>
    <cellStyle name="20% - Accent2 4 4 2 3" xfId="13013" xr:uid="{B2BC161B-6133-4BDD-9A20-5A9791952364}"/>
    <cellStyle name="20% - Accent2 4 4 3" xfId="5759" xr:uid="{00000000-0005-0000-0000-000026010000}"/>
    <cellStyle name="20% - Accent2 4 4 3 2" xfId="15085" xr:uid="{9F5CFBD8-7C7D-421B-9699-7C3D093582DF}"/>
    <cellStyle name="20% - Accent2 4 4 4" xfId="10868" xr:uid="{847EC2D9-EE57-4C2E-B717-7226B17C2629}"/>
    <cellStyle name="20% - Accent2 4 5" xfId="1866" xr:uid="{00000000-0005-0000-0000-000027010000}"/>
    <cellStyle name="20% - Accent2 4 5 2" xfId="4095" xr:uid="{00000000-0005-0000-0000-000028010000}"/>
    <cellStyle name="20% - Accent2 4 5 2 2" xfId="8317" xr:uid="{00000000-0005-0000-0000-000029010000}"/>
    <cellStyle name="20% - Accent2 4 5 2 2 2" xfId="17643" xr:uid="{5CE9138A-7DE7-4219-B2A6-9E059D98537D}"/>
    <cellStyle name="20% - Accent2 4 5 2 3" xfId="13426" xr:uid="{BFF64A0D-E181-4B31-8CCC-17F14C37E1B4}"/>
    <cellStyle name="20% - Accent2 4 5 3" xfId="6172" xr:uid="{00000000-0005-0000-0000-00002A010000}"/>
    <cellStyle name="20% - Accent2 4 5 3 2" xfId="15498" xr:uid="{5E6C4A46-CA1F-469A-9885-5151B586C2DD}"/>
    <cellStyle name="20% - Accent2 4 5 4" xfId="11281" xr:uid="{ADCF6C53-C34D-4DA4-BA49-AFE32859E017}"/>
    <cellStyle name="20% - Accent2 4 6" xfId="2279" xr:uid="{00000000-0005-0000-0000-00002B010000}"/>
    <cellStyle name="20% - Accent2 4 6 2" xfId="6585" xr:uid="{00000000-0005-0000-0000-00002C010000}"/>
    <cellStyle name="20% - Accent2 4 6 2 2" xfId="15911" xr:uid="{21B30E0D-8956-49B6-9E8D-30C32D21B055}"/>
    <cellStyle name="20% - Accent2 4 6 3" xfId="11694" xr:uid="{F3B3DC62-5667-4858-8E3B-A75E678143FA}"/>
    <cellStyle name="20% - Accent2 4 7" xfId="4519" xr:uid="{00000000-0005-0000-0000-00002D010000}"/>
    <cellStyle name="20% - Accent2 4 7 2" xfId="13845" xr:uid="{89A8EA7E-4C7F-4228-93D9-445958F5FE09}"/>
    <cellStyle name="20% - Accent2 4 8" xfId="8949" xr:uid="{084C22A9-B904-4AFE-A752-AC1DC2CA76B8}"/>
    <cellStyle name="20% - Accent2 4 8 2" xfId="18273" xr:uid="{9C5F6BF5-EC32-49CA-AC75-3D43435FFDFD}"/>
    <cellStyle name="20% - Accent2 4 9" xfId="9628" xr:uid="{0C701D77-96CB-4013-A15B-DD8D6D45BA62}"/>
    <cellStyle name="20% - Accent2 5" xfId="578" xr:uid="{00000000-0005-0000-0000-00002E010000}"/>
    <cellStyle name="20% - Accent2 5 2" xfId="2849" xr:uid="{00000000-0005-0000-0000-00002F010000}"/>
    <cellStyle name="20% - Accent2 5 2 2" xfId="7071" xr:uid="{00000000-0005-0000-0000-000030010000}"/>
    <cellStyle name="20% - Accent2 5 2 2 2" xfId="16397" xr:uid="{CC586337-6216-472C-8A61-338B20592A66}"/>
    <cellStyle name="20% - Accent2 5 2 3" xfId="12180" xr:uid="{92C2EA12-C852-4FCD-A853-B7F2333DA274}"/>
    <cellStyle name="20% - Accent2 5 3" xfId="4926" xr:uid="{00000000-0005-0000-0000-000031010000}"/>
    <cellStyle name="20% - Accent2 5 3 2" xfId="14252" xr:uid="{A717DEF4-5421-451E-A4BE-520186D5B443}"/>
    <cellStyle name="20% - Accent2 5 4" xfId="9182" xr:uid="{F822E263-B2A4-41B5-BBF9-FCE1A7A30601}"/>
    <cellStyle name="20% - Accent2 5 4 2" xfId="18500" xr:uid="{1337A812-F8BA-4B19-AA5D-44B886BE1F0A}"/>
    <cellStyle name="20% - Accent2 5 5" xfId="10035" xr:uid="{551AE4E6-5A61-4BF1-A72F-817A62A5DB5B}"/>
    <cellStyle name="20% - Accent2 6" xfId="1031" xr:uid="{00000000-0005-0000-0000-000032010000}"/>
    <cellStyle name="20% - Accent2 6 2" xfId="3262" xr:uid="{00000000-0005-0000-0000-000033010000}"/>
    <cellStyle name="20% - Accent2 6 2 2" xfId="7484" xr:uid="{00000000-0005-0000-0000-000034010000}"/>
    <cellStyle name="20% - Accent2 6 2 2 2" xfId="16810" xr:uid="{94B682A8-A50F-4353-BE64-12B09A0FF560}"/>
    <cellStyle name="20% - Accent2 6 2 3" xfId="12593" xr:uid="{F1FF6FD0-27BD-4FE0-967B-6B50C28FA70D}"/>
    <cellStyle name="20% - Accent2 6 3" xfId="5339" xr:uid="{00000000-0005-0000-0000-000035010000}"/>
    <cellStyle name="20% - Accent2 6 3 2" xfId="14665" xr:uid="{D047F7C9-AB83-48BE-AC5D-33D4A819D1DB}"/>
    <cellStyle name="20% - Accent2 6 4" xfId="10448" xr:uid="{1204D373-EBD3-4944-AD2E-979DCE04FD46}"/>
    <cellStyle name="20% - Accent2 7" xfId="1445" xr:uid="{00000000-0005-0000-0000-000036010000}"/>
    <cellStyle name="20% - Accent2 7 2" xfId="3675" xr:uid="{00000000-0005-0000-0000-000037010000}"/>
    <cellStyle name="20% - Accent2 7 2 2" xfId="7897" xr:uid="{00000000-0005-0000-0000-000038010000}"/>
    <cellStyle name="20% - Accent2 7 2 2 2" xfId="17223" xr:uid="{1102597D-6F9F-4101-AAAF-B4E40A80875B}"/>
    <cellStyle name="20% - Accent2 7 2 3" xfId="13006" xr:uid="{B2DE70A9-6A38-430F-8868-B5C6ABD203C3}"/>
    <cellStyle name="20% - Accent2 7 3" xfId="5752" xr:uid="{00000000-0005-0000-0000-000039010000}"/>
    <cellStyle name="20% - Accent2 7 3 2" xfId="15078" xr:uid="{FAD3BAF1-9012-4928-8F88-812988D3C995}"/>
    <cellStyle name="20% - Accent2 7 4" xfId="10861" xr:uid="{81C3F5E1-E276-46D9-A230-5AC5D484F616}"/>
    <cellStyle name="20% - Accent2 8" xfId="1859" xr:uid="{00000000-0005-0000-0000-00003A010000}"/>
    <cellStyle name="20% - Accent2 8 2" xfId="4088" xr:uid="{00000000-0005-0000-0000-00003B010000}"/>
    <cellStyle name="20% - Accent2 8 2 2" xfId="8310" xr:uid="{00000000-0005-0000-0000-00003C010000}"/>
    <cellStyle name="20% - Accent2 8 2 2 2" xfId="17636" xr:uid="{EC3B2FB3-6C60-4FD5-A71A-4357B00A5EAA}"/>
    <cellStyle name="20% - Accent2 8 2 3" xfId="13419" xr:uid="{9C94FD2D-1A26-4C8B-AF33-906D0156BF54}"/>
    <cellStyle name="20% - Accent2 8 3" xfId="6165" xr:uid="{00000000-0005-0000-0000-00003D010000}"/>
    <cellStyle name="20% - Accent2 8 3 2" xfId="15491" xr:uid="{AE13DA56-26D0-4582-9811-121DC6BF8BA4}"/>
    <cellStyle name="20% - Accent2 8 4" xfId="11274" xr:uid="{1481DC2F-59B2-4041-8B86-659C27528BA6}"/>
    <cellStyle name="20% - Accent2 9" xfId="2272" xr:uid="{00000000-0005-0000-0000-00003E010000}"/>
    <cellStyle name="20% - Accent2 9 2" xfId="6578" xr:uid="{00000000-0005-0000-0000-00003F010000}"/>
    <cellStyle name="20% - Accent2 9 2 2" xfId="15904" xr:uid="{4B8B9CF9-EBA9-4609-BFA6-DA48C70681C9}"/>
    <cellStyle name="20% - Accent2 9 3" xfId="11687" xr:uid="{1A828FA5-5EC9-4FE4-A915-EFFA1898CC68}"/>
    <cellStyle name="20% - Accent3" xfId="17" builtinId="38" customBuiltin="1"/>
    <cellStyle name="20% - Accent3 10" xfId="4520" xr:uid="{00000000-0005-0000-0000-000041010000}"/>
    <cellStyle name="20% - Accent3 10 2" xfId="13846" xr:uid="{DB361085-164F-4EFD-886F-B612A359DC74}"/>
    <cellStyle name="20% - Accent3 11" xfId="8762" xr:uid="{49ACF776-43E7-4BB5-82F5-A8A4FEBC45F8}"/>
    <cellStyle name="20% - Accent3 11 2" xfId="18086" xr:uid="{54511DD2-C2F5-408B-BD5B-91B0BA19444B}"/>
    <cellStyle name="20% - Accent3 12" xfId="9629" xr:uid="{CB6C2ECD-E5BD-4128-BC93-EFDE434C0017}"/>
    <cellStyle name="20% - Accent3 2" xfId="18" xr:uid="{00000000-0005-0000-0000-000042010000}"/>
    <cellStyle name="20% - Accent3 2 10" xfId="8792" xr:uid="{65E5762F-047C-4860-B47E-71363924E2A5}"/>
    <cellStyle name="20% - Accent3 2 10 2" xfId="18116" xr:uid="{5BC45683-13E7-41F2-9188-E4AF024E774E}"/>
    <cellStyle name="20% - Accent3 2 11" xfId="9630" xr:uid="{EE8201D6-BC8A-4E73-84C0-20C720B87610}"/>
    <cellStyle name="20% - Accent3 2 2" xfId="19" xr:uid="{00000000-0005-0000-0000-000043010000}"/>
    <cellStyle name="20% - Accent3 2 2 10" xfId="9631" xr:uid="{FD5CCA74-E2E3-4A5A-B451-2365221FDB05}"/>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2 2 2" xfId="16408" xr:uid="{932A4AE5-4FA2-4523-BE57-25F265779982}"/>
    <cellStyle name="20% - Accent3 2 2 2 2 2 3" xfId="12191" xr:uid="{499F6899-B3F3-4FD8-AA49-CB040C2C5A5F}"/>
    <cellStyle name="20% - Accent3 2 2 2 2 3" xfId="4937" xr:uid="{00000000-0005-0000-0000-000048010000}"/>
    <cellStyle name="20% - Accent3 2 2 2 2 3 2" xfId="14263" xr:uid="{F800F7E1-4135-49C1-A82A-C65F3165B56E}"/>
    <cellStyle name="20% - Accent3 2 2 2 2 4" xfId="9527" xr:uid="{B82F9F3C-4714-4F10-BEB2-F90FC0563F53}"/>
    <cellStyle name="20% - Accent3 2 2 2 2 4 2" xfId="18842" xr:uid="{968A1641-E67F-4BD9-AF4B-41BB3A69DB69}"/>
    <cellStyle name="20% - Accent3 2 2 2 2 5" xfId="10046" xr:uid="{32DE71F8-B5E4-46E3-A80F-89683AE1C1E6}"/>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2 2 2" xfId="16821" xr:uid="{3B25DBCF-CE4B-4657-B40B-F16FC31BE17B}"/>
    <cellStyle name="20% - Accent3 2 2 2 3 2 3" xfId="12604" xr:uid="{332EF50B-D85F-45DA-A7E3-217235A33950}"/>
    <cellStyle name="20% - Accent3 2 2 2 3 3" xfId="5350" xr:uid="{00000000-0005-0000-0000-00004C010000}"/>
    <cellStyle name="20% - Accent3 2 2 2 3 3 2" xfId="14676" xr:uid="{838C17E8-4E79-425D-8C89-4E10603C7A38}"/>
    <cellStyle name="20% - Accent3 2 2 2 3 4" xfId="10459" xr:uid="{9F0EBE0A-6304-4A6A-85FD-45DF2911A4BA}"/>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2 2 2" xfId="17234" xr:uid="{4C72ABF1-BC37-4281-B9D2-DB5CCE3EC1DC}"/>
    <cellStyle name="20% - Accent3 2 2 2 4 2 3" xfId="13017" xr:uid="{6F807942-BA3F-41B8-A5BA-F9030BDF9FB2}"/>
    <cellStyle name="20% - Accent3 2 2 2 4 3" xfId="5763" xr:uid="{00000000-0005-0000-0000-000050010000}"/>
    <cellStyle name="20% - Accent3 2 2 2 4 3 2" xfId="15089" xr:uid="{2CA6210B-1002-4CA2-83AE-D81B4DCDF810}"/>
    <cellStyle name="20% - Accent3 2 2 2 4 4" xfId="10872" xr:uid="{431E1D91-9F77-407F-A660-D7C05390D042}"/>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2 2 2" xfId="17647" xr:uid="{5E444F0B-E83A-4304-B71C-C9A818E18408}"/>
    <cellStyle name="20% - Accent3 2 2 2 5 2 3" xfId="13430" xr:uid="{E549D6D4-6A9D-41A2-B20B-CA1718A64668}"/>
    <cellStyle name="20% - Accent3 2 2 2 5 3" xfId="6176" xr:uid="{00000000-0005-0000-0000-000054010000}"/>
    <cellStyle name="20% - Accent3 2 2 2 5 3 2" xfId="15502" xr:uid="{EC1DD412-5CC4-49C8-BC2D-9B196F2E894E}"/>
    <cellStyle name="20% - Accent3 2 2 2 5 4" xfId="11285" xr:uid="{BB8DAA04-432A-4D0F-A0C2-8605F00DC562}"/>
    <cellStyle name="20% - Accent3 2 2 2 6" xfId="2283" xr:uid="{00000000-0005-0000-0000-000055010000}"/>
    <cellStyle name="20% - Accent3 2 2 2 6 2" xfId="6589" xr:uid="{00000000-0005-0000-0000-000056010000}"/>
    <cellStyle name="20% - Accent3 2 2 2 6 2 2" xfId="15915" xr:uid="{4D550BA5-48FB-4AD0-9109-747DDAF73ABE}"/>
    <cellStyle name="20% - Accent3 2 2 2 6 3" xfId="11698" xr:uid="{FFB1DECA-4F02-4B12-B2C7-5EB2408ADF05}"/>
    <cellStyle name="20% - Accent3 2 2 2 7" xfId="4523" xr:uid="{00000000-0005-0000-0000-000057010000}"/>
    <cellStyle name="20% - Accent3 2 2 2 7 2" xfId="13849" xr:uid="{79A0A3A3-8826-4E50-A770-9EBD9CEB9773}"/>
    <cellStyle name="20% - Accent3 2 2 2 8" xfId="9102" xr:uid="{77698EAD-FDE4-4105-BE80-980B5219F464}"/>
    <cellStyle name="20% - Accent3 2 2 2 8 2" xfId="18426" xr:uid="{716B8C63-3D06-4F89-9D99-7216A0DCB3C0}"/>
    <cellStyle name="20% - Accent3 2 2 2 9" xfId="9632" xr:uid="{616F1B64-F57E-4325-B05F-E1F1D8D30513}"/>
    <cellStyle name="20% - Accent3 2 2 3" xfId="588" xr:uid="{00000000-0005-0000-0000-000058010000}"/>
    <cellStyle name="20% - Accent3 2 2 3 2" xfId="2859" xr:uid="{00000000-0005-0000-0000-000059010000}"/>
    <cellStyle name="20% - Accent3 2 2 3 2 2" xfId="7081" xr:uid="{00000000-0005-0000-0000-00005A010000}"/>
    <cellStyle name="20% - Accent3 2 2 3 2 2 2" xfId="16407" xr:uid="{59C0616F-204A-46BE-92BC-9B43B2459A0D}"/>
    <cellStyle name="20% - Accent3 2 2 3 2 3" xfId="12190" xr:uid="{75177D82-EA60-405A-9F72-443453FFE106}"/>
    <cellStyle name="20% - Accent3 2 2 3 3" xfId="4936" xr:uid="{00000000-0005-0000-0000-00005B010000}"/>
    <cellStyle name="20% - Accent3 2 2 3 3 2" xfId="14262" xr:uid="{C95FED2C-2B4F-44F7-8888-3EDFC8B9FA9B}"/>
    <cellStyle name="20% - Accent3 2 2 3 4" xfId="9320" xr:uid="{BF070B19-D289-4211-B080-DBB621CAE7BA}"/>
    <cellStyle name="20% - Accent3 2 2 3 4 2" xfId="18635" xr:uid="{94D71DF6-65E7-4804-B15F-066BB88C4DE2}"/>
    <cellStyle name="20% - Accent3 2 2 3 5" xfId="10045" xr:uid="{686BF842-3D49-478D-BD95-49C64C211E35}"/>
    <cellStyle name="20% - Accent3 2 2 4" xfId="1041" xr:uid="{00000000-0005-0000-0000-00005C010000}"/>
    <cellStyle name="20% - Accent3 2 2 4 2" xfId="3272" xr:uid="{00000000-0005-0000-0000-00005D010000}"/>
    <cellStyle name="20% - Accent3 2 2 4 2 2" xfId="7494" xr:uid="{00000000-0005-0000-0000-00005E010000}"/>
    <cellStyle name="20% - Accent3 2 2 4 2 2 2" xfId="16820" xr:uid="{2EBDBD24-F5ED-4E68-9053-A86A6BCC9A60}"/>
    <cellStyle name="20% - Accent3 2 2 4 2 3" xfId="12603" xr:uid="{53864021-D49C-45D4-88FB-DF1731B0C6B0}"/>
    <cellStyle name="20% - Accent3 2 2 4 3" xfId="5349" xr:uid="{00000000-0005-0000-0000-00005F010000}"/>
    <cellStyle name="20% - Accent3 2 2 4 3 2" xfId="14675" xr:uid="{7F54273D-FC5B-4562-82EB-69E4C6581170}"/>
    <cellStyle name="20% - Accent3 2 2 4 4" xfId="10458" xr:uid="{153481AB-39EF-48BE-8612-2C5454EDCFC0}"/>
    <cellStyle name="20% - Accent3 2 2 5" xfId="1455" xr:uid="{00000000-0005-0000-0000-000060010000}"/>
    <cellStyle name="20% - Accent3 2 2 5 2" xfId="3685" xr:uid="{00000000-0005-0000-0000-000061010000}"/>
    <cellStyle name="20% - Accent3 2 2 5 2 2" xfId="7907" xr:uid="{00000000-0005-0000-0000-000062010000}"/>
    <cellStyle name="20% - Accent3 2 2 5 2 2 2" xfId="17233" xr:uid="{842C1709-2225-4CE7-B993-C706004DCB4E}"/>
    <cellStyle name="20% - Accent3 2 2 5 2 3" xfId="13016" xr:uid="{C773C289-4F9E-4C4A-9254-D670FB355093}"/>
    <cellStyle name="20% - Accent3 2 2 5 3" xfId="5762" xr:uid="{00000000-0005-0000-0000-000063010000}"/>
    <cellStyle name="20% - Accent3 2 2 5 3 2" xfId="15088" xr:uid="{DA3B5D33-AB41-4474-9F71-D488DDAAF940}"/>
    <cellStyle name="20% - Accent3 2 2 5 4" xfId="10871" xr:uid="{9BAA3C3B-3A39-4DA5-8E7A-520C7F68047F}"/>
    <cellStyle name="20% - Accent3 2 2 6" xfId="1869" xr:uid="{00000000-0005-0000-0000-000064010000}"/>
    <cellStyle name="20% - Accent3 2 2 6 2" xfId="4098" xr:uid="{00000000-0005-0000-0000-000065010000}"/>
    <cellStyle name="20% - Accent3 2 2 6 2 2" xfId="8320" xr:uid="{00000000-0005-0000-0000-000066010000}"/>
    <cellStyle name="20% - Accent3 2 2 6 2 2 2" xfId="17646" xr:uid="{5513406A-EA9D-4334-B3C6-ACC27DED6F26}"/>
    <cellStyle name="20% - Accent3 2 2 6 2 3" xfId="13429" xr:uid="{B5AB6771-F00D-4793-9F3A-E803F8F8E52B}"/>
    <cellStyle name="20% - Accent3 2 2 6 3" xfId="6175" xr:uid="{00000000-0005-0000-0000-000067010000}"/>
    <cellStyle name="20% - Accent3 2 2 6 3 2" xfId="15501" xr:uid="{8B4C8749-C8E4-471E-A953-A85B9EB4CCCB}"/>
    <cellStyle name="20% - Accent3 2 2 6 4" xfId="11284" xr:uid="{DEF5E9EA-1DA8-42F9-B01A-C005470EEDBD}"/>
    <cellStyle name="20% - Accent3 2 2 7" xfId="2282" xr:uid="{00000000-0005-0000-0000-000068010000}"/>
    <cellStyle name="20% - Accent3 2 2 7 2" xfId="6588" xr:uid="{00000000-0005-0000-0000-000069010000}"/>
    <cellStyle name="20% - Accent3 2 2 7 2 2" xfId="15914" xr:uid="{BF3502C5-57EE-43B6-BC45-33ED7370B85B}"/>
    <cellStyle name="20% - Accent3 2 2 7 3" xfId="11697" xr:uid="{23FB002E-F634-47D2-B5BC-C2B385A9B519}"/>
    <cellStyle name="20% - Accent3 2 2 8" xfId="4522" xr:uid="{00000000-0005-0000-0000-00006A010000}"/>
    <cellStyle name="20% - Accent3 2 2 8 2" xfId="13848" xr:uid="{7572C60D-66C3-4C6C-A312-C785DA76D255}"/>
    <cellStyle name="20% - Accent3 2 2 9" xfId="8895" xr:uid="{0ADDC6BA-FD9D-420D-8F5A-13E0A04BBC7C}"/>
    <cellStyle name="20% - Accent3 2 2 9 2" xfId="18219" xr:uid="{93141977-E1F6-4E9F-94A3-384C90B0C295}"/>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2 2 2" xfId="16409" xr:uid="{59458A70-8502-407E-BCFE-26A8961D522A}"/>
    <cellStyle name="20% - Accent3 2 3 2 2 3" xfId="12192" xr:uid="{0130F680-EAF4-44E1-BC77-6AA0242FC951}"/>
    <cellStyle name="20% - Accent3 2 3 2 3" xfId="4938" xr:uid="{00000000-0005-0000-0000-00006F010000}"/>
    <cellStyle name="20% - Accent3 2 3 2 3 2" xfId="14264" xr:uid="{A7846A61-7CB7-4063-A06E-775D66A161ED}"/>
    <cellStyle name="20% - Accent3 2 3 2 4" xfId="9424" xr:uid="{C3588D98-6F24-4F2C-9F96-F34501405613}"/>
    <cellStyle name="20% - Accent3 2 3 2 4 2" xfId="18739" xr:uid="{DB895510-9084-4658-AA17-97BEB0FD3D6D}"/>
    <cellStyle name="20% - Accent3 2 3 2 5" xfId="10047" xr:uid="{D61551AA-CAA3-49FC-9BB6-97A114A356A4}"/>
    <cellStyle name="20% - Accent3 2 3 3" xfId="1043" xr:uid="{00000000-0005-0000-0000-000070010000}"/>
    <cellStyle name="20% - Accent3 2 3 3 2" xfId="3274" xr:uid="{00000000-0005-0000-0000-000071010000}"/>
    <cellStyle name="20% - Accent3 2 3 3 2 2" xfId="7496" xr:uid="{00000000-0005-0000-0000-000072010000}"/>
    <cellStyle name="20% - Accent3 2 3 3 2 2 2" xfId="16822" xr:uid="{D7A4CCF9-866A-4F87-B219-00A550E6CD49}"/>
    <cellStyle name="20% - Accent3 2 3 3 2 3" xfId="12605" xr:uid="{B173907F-7106-4A8D-8CFB-D8D369A580A2}"/>
    <cellStyle name="20% - Accent3 2 3 3 3" xfId="5351" xr:uid="{00000000-0005-0000-0000-000073010000}"/>
    <cellStyle name="20% - Accent3 2 3 3 3 2" xfId="14677" xr:uid="{A74D1245-4B93-48A6-B271-9B712C4057DD}"/>
    <cellStyle name="20% - Accent3 2 3 3 4" xfId="10460" xr:uid="{C326997B-6B90-4155-895A-518B47C76543}"/>
    <cellStyle name="20% - Accent3 2 3 4" xfId="1457" xr:uid="{00000000-0005-0000-0000-000074010000}"/>
    <cellStyle name="20% - Accent3 2 3 4 2" xfId="3687" xr:uid="{00000000-0005-0000-0000-000075010000}"/>
    <cellStyle name="20% - Accent3 2 3 4 2 2" xfId="7909" xr:uid="{00000000-0005-0000-0000-000076010000}"/>
    <cellStyle name="20% - Accent3 2 3 4 2 2 2" xfId="17235" xr:uid="{5CDFE57C-1647-4B1F-B139-5E0678588B4D}"/>
    <cellStyle name="20% - Accent3 2 3 4 2 3" xfId="13018" xr:uid="{3FDE3A39-F4EB-474B-9E75-8C15963902CB}"/>
    <cellStyle name="20% - Accent3 2 3 4 3" xfId="5764" xr:uid="{00000000-0005-0000-0000-000077010000}"/>
    <cellStyle name="20% - Accent3 2 3 4 3 2" xfId="15090" xr:uid="{CCC341A5-0C5A-48C5-A5D4-841128268E12}"/>
    <cellStyle name="20% - Accent3 2 3 4 4" xfId="10873" xr:uid="{F1539C4D-6B7F-4C4B-8151-56493CB28E59}"/>
    <cellStyle name="20% - Accent3 2 3 5" xfId="1871" xr:uid="{00000000-0005-0000-0000-000078010000}"/>
    <cellStyle name="20% - Accent3 2 3 5 2" xfId="4100" xr:uid="{00000000-0005-0000-0000-000079010000}"/>
    <cellStyle name="20% - Accent3 2 3 5 2 2" xfId="8322" xr:uid="{00000000-0005-0000-0000-00007A010000}"/>
    <cellStyle name="20% - Accent3 2 3 5 2 2 2" xfId="17648" xr:uid="{4401FEE7-EBE1-4F6E-B658-C063C43885E2}"/>
    <cellStyle name="20% - Accent3 2 3 5 2 3" xfId="13431" xr:uid="{D2EBF444-8ABB-48E2-AFCC-DC000404CC18}"/>
    <cellStyle name="20% - Accent3 2 3 5 3" xfId="6177" xr:uid="{00000000-0005-0000-0000-00007B010000}"/>
    <cellStyle name="20% - Accent3 2 3 5 3 2" xfId="15503" xr:uid="{3FFEAB59-6894-42BB-AC45-22F6658F139A}"/>
    <cellStyle name="20% - Accent3 2 3 5 4" xfId="11286" xr:uid="{DD6EC6D5-DB49-49A8-9C37-812F6CDE6298}"/>
    <cellStyle name="20% - Accent3 2 3 6" xfId="2284" xr:uid="{00000000-0005-0000-0000-00007C010000}"/>
    <cellStyle name="20% - Accent3 2 3 6 2" xfId="6590" xr:uid="{00000000-0005-0000-0000-00007D010000}"/>
    <cellStyle name="20% - Accent3 2 3 6 2 2" xfId="15916" xr:uid="{A0E68AAC-F5D9-4DBE-82E8-D37B2435E36C}"/>
    <cellStyle name="20% - Accent3 2 3 6 3" xfId="11699" xr:uid="{480E5368-610F-4786-8CB2-881D15CE0092}"/>
    <cellStyle name="20% - Accent3 2 3 7" xfId="4524" xr:uid="{00000000-0005-0000-0000-00007E010000}"/>
    <cellStyle name="20% - Accent3 2 3 7 2" xfId="13850" xr:uid="{63AD4CF4-A3FF-433E-98E7-6C9C0D5CBE0B}"/>
    <cellStyle name="20% - Accent3 2 3 8" xfId="8999" xr:uid="{2B5D0148-B6EA-4DEA-92B1-644886C27051}"/>
    <cellStyle name="20% - Accent3 2 3 8 2" xfId="18323" xr:uid="{D39DA079-1C99-4779-8F72-EE0DA07B66AF}"/>
    <cellStyle name="20% - Accent3 2 3 9" xfId="9633" xr:uid="{C8055F8D-0A25-465C-9EBB-0FC536E3E246}"/>
    <cellStyle name="20% - Accent3 2 4" xfId="587" xr:uid="{00000000-0005-0000-0000-00007F010000}"/>
    <cellStyle name="20% - Accent3 2 4 2" xfId="2858" xr:uid="{00000000-0005-0000-0000-000080010000}"/>
    <cellStyle name="20% - Accent3 2 4 2 2" xfId="7080" xr:uid="{00000000-0005-0000-0000-000081010000}"/>
    <cellStyle name="20% - Accent3 2 4 2 2 2" xfId="16406" xr:uid="{25EB9639-FC50-4D95-A796-F15B21BD3417}"/>
    <cellStyle name="20% - Accent3 2 4 2 3" xfId="12189" xr:uid="{AE3C3EEA-F89D-4941-90D6-6371226677CE}"/>
    <cellStyle name="20% - Accent3 2 4 3" xfId="4935" xr:uid="{00000000-0005-0000-0000-000082010000}"/>
    <cellStyle name="20% - Accent3 2 4 3 2" xfId="14261" xr:uid="{62BF5313-67ED-48D2-98E7-55DF927242B8}"/>
    <cellStyle name="20% - Accent3 2 4 4" xfId="9216" xr:uid="{A12C3877-5492-4CD3-AD22-81B3F0AB1EDD}"/>
    <cellStyle name="20% - Accent3 2 4 4 2" xfId="18532" xr:uid="{A2D15743-E669-442A-ADF0-60F718AE67FD}"/>
    <cellStyle name="20% - Accent3 2 4 5" xfId="10044" xr:uid="{AB615983-A686-4C37-9192-333A983EB8C1}"/>
    <cellStyle name="20% - Accent3 2 5" xfId="1040" xr:uid="{00000000-0005-0000-0000-000083010000}"/>
    <cellStyle name="20% - Accent3 2 5 2" xfId="3271" xr:uid="{00000000-0005-0000-0000-000084010000}"/>
    <cellStyle name="20% - Accent3 2 5 2 2" xfId="7493" xr:uid="{00000000-0005-0000-0000-000085010000}"/>
    <cellStyle name="20% - Accent3 2 5 2 2 2" xfId="16819" xr:uid="{60044D2C-5508-4460-A62B-20114EF473B3}"/>
    <cellStyle name="20% - Accent3 2 5 2 3" xfId="12602" xr:uid="{61585193-2911-4146-A4CA-57035FEEEA31}"/>
    <cellStyle name="20% - Accent3 2 5 3" xfId="5348" xr:uid="{00000000-0005-0000-0000-000086010000}"/>
    <cellStyle name="20% - Accent3 2 5 3 2" xfId="14674" xr:uid="{4CF05E75-F778-4F94-97F5-6608E4101781}"/>
    <cellStyle name="20% - Accent3 2 5 4" xfId="10457" xr:uid="{C97B1443-8026-4A04-882B-7A3162AD14F5}"/>
    <cellStyle name="20% - Accent3 2 6" xfId="1454" xr:uid="{00000000-0005-0000-0000-000087010000}"/>
    <cellStyle name="20% - Accent3 2 6 2" xfId="3684" xr:uid="{00000000-0005-0000-0000-000088010000}"/>
    <cellStyle name="20% - Accent3 2 6 2 2" xfId="7906" xr:uid="{00000000-0005-0000-0000-000089010000}"/>
    <cellStyle name="20% - Accent3 2 6 2 2 2" xfId="17232" xr:uid="{55CC99DC-ED0F-4D8D-AB51-DDD369A40640}"/>
    <cellStyle name="20% - Accent3 2 6 2 3" xfId="13015" xr:uid="{E40EEB05-59EB-4132-A5FA-DBB5B7E48727}"/>
    <cellStyle name="20% - Accent3 2 6 3" xfId="5761" xr:uid="{00000000-0005-0000-0000-00008A010000}"/>
    <cellStyle name="20% - Accent3 2 6 3 2" xfId="15087" xr:uid="{E301EEBF-0854-4D2E-9DE9-8B5E570E7231}"/>
    <cellStyle name="20% - Accent3 2 6 4" xfId="10870" xr:uid="{F1D49683-0367-442E-BDD1-ACFDF6FD985C}"/>
    <cellStyle name="20% - Accent3 2 7" xfId="1868" xr:uid="{00000000-0005-0000-0000-00008B010000}"/>
    <cellStyle name="20% - Accent3 2 7 2" xfId="4097" xr:uid="{00000000-0005-0000-0000-00008C010000}"/>
    <cellStyle name="20% - Accent3 2 7 2 2" xfId="8319" xr:uid="{00000000-0005-0000-0000-00008D010000}"/>
    <cellStyle name="20% - Accent3 2 7 2 2 2" xfId="17645" xr:uid="{93911FF5-F5B1-4BA1-9DA3-F20E2EC8A768}"/>
    <cellStyle name="20% - Accent3 2 7 2 3" xfId="13428" xr:uid="{11729C49-410D-4E03-B9F9-086D1DC270A9}"/>
    <cellStyle name="20% - Accent3 2 7 3" xfId="6174" xr:uid="{00000000-0005-0000-0000-00008E010000}"/>
    <cellStyle name="20% - Accent3 2 7 3 2" xfId="15500" xr:uid="{0C4CAAA2-C236-44A6-B322-7D303D139D92}"/>
    <cellStyle name="20% - Accent3 2 7 4" xfId="11283" xr:uid="{90F7D41D-6CD3-4987-81A3-BF42B79DB612}"/>
    <cellStyle name="20% - Accent3 2 8" xfId="2281" xr:uid="{00000000-0005-0000-0000-00008F010000}"/>
    <cellStyle name="20% - Accent3 2 8 2" xfId="6587" xr:uid="{00000000-0005-0000-0000-000090010000}"/>
    <cellStyle name="20% - Accent3 2 8 2 2" xfId="15913" xr:uid="{9D57E77E-2524-4221-975C-BB5DD1E6967C}"/>
    <cellStyle name="20% - Accent3 2 8 3" xfId="11696" xr:uid="{83F815B5-11D4-4D69-9BED-5E6115D621C3}"/>
    <cellStyle name="20% - Accent3 2 9" xfId="4521" xr:uid="{00000000-0005-0000-0000-000091010000}"/>
    <cellStyle name="20% - Accent3 2 9 2" xfId="13847" xr:uid="{33F4C0BC-FF55-4DA9-8AF7-38BEE61636B5}"/>
    <cellStyle name="20% - Accent3 3" xfId="22" xr:uid="{00000000-0005-0000-0000-000092010000}"/>
    <cellStyle name="20% - Accent3 3 10" xfId="9634" xr:uid="{5B4147EB-E7F9-45E1-B3C9-34F3713F364A}"/>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2 2 2" xfId="16411" xr:uid="{B0D9235A-DBDD-4C4A-A33C-7129FE55A6FD}"/>
    <cellStyle name="20% - Accent3 3 2 2 2 3" xfId="12194" xr:uid="{9F8AC377-0BD2-4129-8D8B-78B68855C70E}"/>
    <cellStyle name="20% - Accent3 3 2 2 3" xfId="4940" xr:uid="{00000000-0005-0000-0000-000097010000}"/>
    <cellStyle name="20% - Accent3 3 2 2 3 2" xfId="14266" xr:uid="{E68C3E81-A212-4F9C-BF21-B09B35D2F419}"/>
    <cellStyle name="20% - Accent3 3 2 2 4" xfId="9497" xr:uid="{43A0E151-F418-49A1-AF18-121DEB02B6D4}"/>
    <cellStyle name="20% - Accent3 3 2 2 4 2" xfId="18812" xr:uid="{5C85123B-F952-4FD6-8C02-5A188FDD6F9A}"/>
    <cellStyle name="20% - Accent3 3 2 2 5" xfId="10049" xr:uid="{D039A71D-0F56-44F3-8957-AA552C16E7B5}"/>
    <cellStyle name="20% - Accent3 3 2 3" xfId="1045" xr:uid="{00000000-0005-0000-0000-000098010000}"/>
    <cellStyle name="20% - Accent3 3 2 3 2" xfId="3276" xr:uid="{00000000-0005-0000-0000-000099010000}"/>
    <cellStyle name="20% - Accent3 3 2 3 2 2" xfId="7498" xr:uid="{00000000-0005-0000-0000-00009A010000}"/>
    <cellStyle name="20% - Accent3 3 2 3 2 2 2" xfId="16824" xr:uid="{3918E11D-4B48-4280-8DE0-3F5346C18A27}"/>
    <cellStyle name="20% - Accent3 3 2 3 2 3" xfId="12607" xr:uid="{9D04C852-EABB-489E-A802-923DD9BF2FBA}"/>
    <cellStyle name="20% - Accent3 3 2 3 3" xfId="5353" xr:uid="{00000000-0005-0000-0000-00009B010000}"/>
    <cellStyle name="20% - Accent3 3 2 3 3 2" xfId="14679" xr:uid="{2E19CA69-8B81-4FDE-9E86-DCDBD250D301}"/>
    <cellStyle name="20% - Accent3 3 2 3 4" xfId="10462" xr:uid="{81692D3A-AA71-438E-B773-4D026A59CD65}"/>
    <cellStyle name="20% - Accent3 3 2 4" xfId="1459" xr:uid="{00000000-0005-0000-0000-00009C010000}"/>
    <cellStyle name="20% - Accent3 3 2 4 2" xfId="3689" xr:uid="{00000000-0005-0000-0000-00009D010000}"/>
    <cellStyle name="20% - Accent3 3 2 4 2 2" xfId="7911" xr:uid="{00000000-0005-0000-0000-00009E010000}"/>
    <cellStyle name="20% - Accent3 3 2 4 2 2 2" xfId="17237" xr:uid="{18B73D62-6FE1-4942-9FAC-AF0F2CD5C56B}"/>
    <cellStyle name="20% - Accent3 3 2 4 2 3" xfId="13020" xr:uid="{0C63AE0A-6E62-4B0F-9BD0-6A6217481E11}"/>
    <cellStyle name="20% - Accent3 3 2 4 3" xfId="5766" xr:uid="{00000000-0005-0000-0000-00009F010000}"/>
    <cellStyle name="20% - Accent3 3 2 4 3 2" xfId="15092" xr:uid="{B26BED37-57F4-44D2-94A9-A06F2B01B30D}"/>
    <cellStyle name="20% - Accent3 3 2 4 4" xfId="10875" xr:uid="{1EF6E30E-4E8C-4BD8-BDDC-C12D40C81056}"/>
    <cellStyle name="20% - Accent3 3 2 5" xfId="1873" xr:uid="{00000000-0005-0000-0000-0000A0010000}"/>
    <cellStyle name="20% - Accent3 3 2 5 2" xfId="4102" xr:uid="{00000000-0005-0000-0000-0000A1010000}"/>
    <cellStyle name="20% - Accent3 3 2 5 2 2" xfId="8324" xr:uid="{00000000-0005-0000-0000-0000A2010000}"/>
    <cellStyle name="20% - Accent3 3 2 5 2 2 2" xfId="17650" xr:uid="{46D813C1-2605-45AD-B166-BE463AFD92E1}"/>
    <cellStyle name="20% - Accent3 3 2 5 2 3" xfId="13433" xr:uid="{A4A573D3-915F-4380-A3BC-F788376AF475}"/>
    <cellStyle name="20% - Accent3 3 2 5 3" xfId="6179" xr:uid="{00000000-0005-0000-0000-0000A3010000}"/>
    <cellStyle name="20% - Accent3 3 2 5 3 2" xfId="15505" xr:uid="{D4266DEC-C4EF-432C-B5AA-3446AEA16825}"/>
    <cellStyle name="20% - Accent3 3 2 5 4" xfId="11288" xr:uid="{E8434BF3-D937-4B15-920D-BA0991B72E4E}"/>
    <cellStyle name="20% - Accent3 3 2 6" xfId="2286" xr:uid="{00000000-0005-0000-0000-0000A4010000}"/>
    <cellStyle name="20% - Accent3 3 2 6 2" xfId="6592" xr:uid="{00000000-0005-0000-0000-0000A5010000}"/>
    <cellStyle name="20% - Accent3 3 2 6 2 2" xfId="15918" xr:uid="{18A140EE-B066-4318-8C98-9ED85D290AA5}"/>
    <cellStyle name="20% - Accent3 3 2 6 3" xfId="11701" xr:uid="{C57010F0-13A9-47F0-9C4E-EF2C30BA7B8B}"/>
    <cellStyle name="20% - Accent3 3 2 7" xfId="4526" xr:uid="{00000000-0005-0000-0000-0000A6010000}"/>
    <cellStyle name="20% - Accent3 3 2 7 2" xfId="13852" xr:uid="{EBDBC003-74F3-45F6-957E-04C5B109A6B8}"/>
    <cellStyle name="20% - Accent3 3 2 8" xfId="9072" xr:uid="{422EC144-F6F8-460E-8B93-316BBF9707FB}"/>
    <cellStyle name="20% - Accent3 3 2 8 2" xfId="18396" xr:uid="{7DCC3286-F9C6-4999-90D1-051EEA0D9BED}"/>
    <cellStyle name="20% - Accent3 3 2 9" xfId="9635" xr:uid="{40819167-75B5-4F16-9DB5-2545F1E64D33}"/>
    <cellStyle name="20% - Accent3 3 3" xfId="591" xr:uid="{00000000-0005-0000-0000-0000A7010000}"/>
    <cellStyle name="20% - Accent3 3 3 2" xfId="2862" xr:uid="{00000000-0005-0000-0000-0000A8010000}"/>
    <cellStyle name="20% - Accent3 3 3 2 2" xfId="7084" xr:uid="{00000000-0005-0000-0000-0000A9010000}"/>
    <cellStyle name="20% - Accent3 3 3 2 2 2" xfId="16410" xr:uid="{63293E7D-6CDF-4060-9208-2EEB7198DDBA}"/>
    <cellStyle name="20% - Accent3 3 3 2 3" xfId="12193" xr:uid="{AD75B13F-5FDD-4F6E-8156-5198BF38F0B5}"/>
    <cellStyle name="20% - Accent3 3 3 3" xfId="4939" xr:uid="{00000000-0005-0000-0000-0000AA010000}"/>
    <cellStyle name="20% - Accent3 3 3 3 2" xfId="14265" xr:uid="{DE8BDD21-863C-45B9-A7DF-BDFD839B7A00}"/>
    <cellStyle name="20% - Accent3 3 3 4" xfId="9290" xr:uid="{8511D0A3-BAF4-4D49-BFEA-2ED828678819}"/>
    <cellStyle name="20% - Accent3 3 3 4 2" xfId="18605" xr:uid="{83F58DC7-F8F3-44F4-9A5F-F55661CE36B8}"/>
    <cellStyle name="20% - Accent3 3 3 5" xfId="10048" xr:uid="{17A5E365-9472-416F-A0F0-FABB468F38AC}"/>
    <cellStyle name="20% - Accent3 3 4" xfId="1044" xr:uid="{00000000-0005-0000-0000-0000AB010000}"/>
    <cellStyle name="20% - Accent3 3 4 2" xfId="3275" xr:uid="{00000000-0005-0000-0000-0000AC010000}"/>
    <cellStyle name="20% - Accent3 3 4 2 2" xfId="7497" xr:uid="{00000000-0005-0000-0000-0000AD010000}"/>
    <cellStyle name="20% - Accent3 3 4 2 2 2" xfId="16823" xr:uid="{1B70D123-A9B1-4BE8-9FAD-0AC83E7F17A8}"/>
    <cellStyle name="20% - Accent3 3 4 2 3" xfId="12606" xr:uid="{1082073E-35A0-4DF6-8131-9ED4DFC48F06}"/>
    <cellStyle name="20% - Accent3 3 4 3" xfId="5352" xr:uid="{00000000-0005-0000-0000-0000AE010000}"/>
    <cellStyle name="20% - Accent3 3 4 3 2" xfId="14678" xr:uid="{7A216D07-8DE4-45F9-A333-E3C3D545F433}"/>
    <cellStyle name="20% - Accent3 3 4 4" xfId="10461" xr:uid="{48F0CDB8-6FB8-4BBD-B050-E0B0203A1BF6}"/>
    <cellStyle name="20% - Accent3 3 5" xfId="1458" xr:uid="{00000000-0005-0000-0000-0000AF010000}"/>
    <cellStyle name="20% - Accent3 3 5 2" xfId="3688" xr:uid="{00000000-0005-0000-0000-0000B0010000}"/>
    <cellStyle name="20% - Accent3 3 5 2 2" xfId="7910" xr:uid="{00000000-0005-0000-0000-0000B1010000}"/>
    <cellStyle name="20% - Accent3 3 5 2 2 2" xfId="17236" xr:uid="{ABC80C24-3152-488C-8785-9D9BB7B6F6CE}"/>
    <cellStyle name="20% - Accent3 3 5 2 3" xfId="13019" xr:uid="{B7838D76-492E-421D-A7C9-53A077FF50BC}"/>
    <cellStyle name="20% - Accent3 3 5 3" xfId="5765" xr:uid="{00000000-0005-0000-0000-0000B2010000}"/>
    <cellStyle name="20% - Accent3 3 5 3 2" xfId="15091" xr:uid="{598CAD56-8FA5-4312-8427-B55F56085D61}"/>
    <cellStyle name="20% - Accent3 3 5 4" xfId="10874" xr:uid="{BCE2B3E1-A3FC-4A3E-85B2-394568833504}"/>
    <cellStyle name="20% - Accent3 3 6" xfId="1872" xr:uid="{00000000-0005-0000-0000-0000B3010000}"/>
    <cellStyle name="20% - Accent3 3 6 2" xfId="4101" xr:uid="{00000000-0005-0000-0000-0000B4010000}"/>
    <cellStyle name="20% - Accent3 3 6 2 2" xfId="8323" xr:uid="{00000000-0005-0000-0000-0000B5010000}"/>
    <cellStyle name="20% - Accent3 3 6 2 2 2" xfId="17649" xr:uid="{F87593C4-7578-4882-ABC3-9E19D4E1E4F1}"/>
    <cellStyle name="20% - Accent3 3 6 2 3" xfId="13432" xr:uid="{81FA1D86-4D87-46CF-A6A0-284873C0F2A5}"/>
    <cellStyle name="20% - Accent3 3 6 3" xfId="6178" xr:uid="{00000000-0005-0000-0000-0000B6010000}"/>
    <cellStyle name="20% - Accent3 3 6 3 2" xfId="15504" xr:uid="{0D8D0AE4-A6ED-421E-85FF-8855A13496C8}"/>
    <cellStyle name="20% - Accent3 3 6 4" xfId="11287" xr:uid="{E15F6C0B-3498-4E27-B1ED-B749C1D44DB1}"/>
    <cellStyle name="20% - Accent3 3 7" xfId="2285" xr:uid="{00000000-0005-0000-0000-0000B7010000}"/>
    <cellStyle name="20% - Accent3 3 7 2" xfId="6591" xr:uid="{00000000-0005-0000-0000-0000B8010000}"/>
    <cellStyle name="20% - Accent3 3 7 2 2" xfId="15917" xr:uid="{01243271-EC98-4671-80C7-1A4823EB0219}"/>
    <cellStyle name="20% - Accent3 3 7 3" xfId="11700" xr:uid="{149BE4D1-321D-49A0-BB3A-119B1C0B3001}"/>
    <cellStyle name="20% - Accent3 3 8" xfId="4525" xr:uid="{00000000-0005-0000-0000-0000B9010000}"/>
    <cellStyle name="20% - Accent3 3 8 2" xfId="13851" xr:uid="{EBF34A68-855C-44E0-A03E-7068AF042CC5}"/>
    <cellStyle name="20% - Accent3 3 9" xfId="8865" xr:uid="{FFA3EBA3-F40D-47A2-8AA1-A3A9E7BB9A8E}"/>
    <cellStyle name="20% - Accent3 3 9 2" xfId="18189" xr:uid="{9B1C522E-0C35-46E4-B9B8-9179F0274077}"/>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2 2 2" xfId="16412" xr:uid="{5038C154-3029-4D66-9210-C7D36F773BE2}"/>
    <cellStyle name="20% - Accent3 4 2 2 3" xfId="12195" xr:uid="{A74DECEA-7835-4F92-889F-909ABB22C279}"/>
    <cellStyle name="20% - Accent3 4 2 3" xfId="4941" xr:uid="{00000000-0005-0000-0000-0000BE010000}"/>
    <cellStyle name="20% - Accent3 4 2 3 2" xfId="14267" xr:uid="{834C66B4-F59D-4090-A6BF-1824349D2E5A}"/>
    <cellStyle name="20% - Accent3 4 2 4" xfId="9376" xr:uid="{92AC27CA-0B0B-4AFE-8457-D3F19BE2837F}"/>
    <cellStyle name="20% - Accent3 4 2 4 2" xfId="18691" xr:uid="{AEAEE067-143A-4354-A2A9-44DE2409D592}"/>
    <cellStyle name="20% - Accent3 4 2 5" xfId="10050" xr:uid="{2F730BF3-D1B9-41B2-B469-60FF1642471A}"/>
    <cellStyle name="20% - Accent3 4 3" xfId="1046" xr:uid="{00000000-0005-0000-0000-0000BF010000}"/>
    <cellStyle name="20% - Accent3 4 3 2" xfId="3277" xr:uid="{00000000-0005-0000-0000-0000C0010000}"/>
    <cellStyle name="20% - Accent3 4 3 2 2" xfId="7499" xr:uid="{00000000-0005-0000-0000-0000C1010000}"/>
    <cellStyle name="20% - Accent3 4 3 2 2 2" xfId="16825" xr:uid="{9589E9FB-6EB5-4EC1-BBA9-32153E2708CC}"/>
    <cellStyle name="20% - Accent3 4 3 2 3" xfId="12608" xr:uid="{8386EDC4-B082-4542-A0A4-F1A9D873E04D}"/>
    <cellStyle name="20% - Accent3 4 3 3" xfId="5354" xr:uid="{00000000-0005-0000-0000-0000C2010000}"/>
    <cellStyle name="20% - Accent3 4 3 3 2" xfId="14680" xr:uid="{B17FE117-CFC5-464B-A89C-50FC06A584F8}"/>
    <cellStyle name="20% - Accent3 4 3 4" xfId="10463" xr:uid="{F85560AD-482D-4ED3-B2B6-2F22F88C3C54}"/>
    <cellStyle name="20% - Accent3 4 4" xfId="1460" xr:uid="{00000000-0005-0000-0000-0000C3010000}"/>
    <cellStyle name="20% - Accent3 4 4 2" xfId="3690" xr:uid="{00000000-0005-0000-0000-0000C4010000}"/>
    <cellStyle name="20% - Accent3 4 4 2 2" xfId="7912" xr:uid="{00000000-0005-0000-0000-0000C5010000}"/>
    <cellStyle name="20% - Accent3 4 4 2 2 2" xfId="17238" xr:uid="{29C77E82-DBDD-4C7C-A0A2-959474160E55}"/>
    <cellStyle name="20% - Accent3 4 4 2 3" xfId="13021" xr:uid="{969DE708-8A4B-4008-8A0E-2F91E3360FA3}"/>
    <cellStyle name="20% - Accent3 4 4 3" xfId="5767" xr:uid="{00000000-0005-0000-0000-0000C6010000}"/>
    <cellStyle name="20% - Accent3 4 4 3 2" xfId="15093" xr:uid="{E258BBA5-7D29-4E8B-A5C1-9E7C8FD09672}"/>
    <cellStyle name="20% - Accent3 4 4 4" xfId="10876" xr:uid="{D6D15EB1-04C4-48C5-9320-1CE5694C1D0E}"/>
    <cellStyle name="20% - Accent3 4 5" xfId="1874" xr:uid="{00000000-0005-0000-0000-0000C7010000}"/>
    <cellStyle name="20% - Accent3 4 5 2" xfId="4103" xr:uid="{00000000-0005-0000-0000-0000C8010000}"/>
    <cellStyle name="20% - Accent3 4 5 2 2" xfId="8325" xr:uid="{00000000-0005-0000-0000-0000C9010000}"/>
    <cellStyle name="20% - Accent3 4 5 2 2 2" xfId="17651" xr:uid="{8B275964-2189-4E13-9F86-2E6DBFEC9578}"/>
    <cellStyle name="20% - Accent3 4 5 2 3" xfId="13434" xr:uid="{695FC501-D69E-463D-A787-93546AC7CCBD}"/>
    <cellStyle name="20% - Accent3 4 5 3" xfId="6180" xr:uid="{00000000-0005-0000-0000-0000CA010000}"/>
    <cellStyle name="20% - Accent3 4 5 3 2" xfId="15506" xr:uid="{49B17832-5BCB-4A2D-9213-771A24A495B1}"/>
    <cellStyle name="20% - Accent3 4 5 4" xfId="11289" xr:uid="{30C99CEB-8051-430F-897A-13FD81E2F194}"/>
    <cellStyle name="20% - Accent3 4 6" xfId="2287" xr:uid="{00000000-0005-0000-0000-0000CB010000}"/>
    <cellStyle name="20% - Accent3 4 6 2" xfId="6593" xr:uid="{00000000-0005-0000-0000-0000CC010000}"/>
    <cellStyle name="20% - Accent3 4 6 2 2" xfId="15919" xr:uid="{31279F76-9CDC-472E-87F4-A8E219A1B773}"/>
    <cellStyle name="20% - Accent3 4 6 3" xfId="11702" xr:uid="{B0CBBFD7-E451-4F08-9397-8A508D6536A0}"/>
    <cellStyle name="20% - Accent3 4 7" xfId="4527" xr:uid="{00000000-0005-0000-0000-0000CD010000}"/>
    <cellStyle name="20% - Accent3 4 7 2" xfId="13853" xr:uid="{2C4C748B-BFCA-41FA-9A44-929EFCB86CBE}"/>
    <cellStyle name="20% - Accent3 4 8" xfId="8951" xr:uid="{3CB7770B-4F12-4C44-B65D-06C641FEE851}"/>
    <cellStyle name="20% - Accent3 4 8 2" xfId="18275" xr:uid="{F2943D79-2A5C-41A8-BCD9-70C39E711B87}"/>
    <cellStyle name="20% - Accent3 4 9" xfId="9636" xr:uid="{3616E549-496D-4567-AE33-1B63E0ACE146}"/>
    <cellStyle name="20% - Accent3 5" xfId="586" xr:uid="{00000000-0005-0000-0000-0000CE010000}"/>
    <cellStyle name="20% - Accent3 5 2" xfId="2857" xr:uid="{00000000-0005-0000-0000-0000CF010000}"/>
    <cellStyle name="20% - Accent3 5 2 2" xfId="7079" xr:uid="{00000000-0005-0000-0000-0000D0010000}"/>
    <cellStyle name="20% - Accent3 5 2 2 2" xfId="16405" xr:uid="{BE0B6135-30CE-464A-8C01-01AD17AE7A68}"/>
    <cellStyle name="20% - Accent3 5 2 3" xfId="12188" xr:uid="{86D36812-2CFD-4580-8A16-856B59BEC25E}"/>
    <cellStyle name="20% - Accent3 5 3" xfId="4934" xr:uid="{00000000-0005-0000-0000-0000D1010000}"/>
    <cellStyle name="20% - Accent3 5 3 2" xfId="14260" xr:uid="{564C8BAE-C4EC-4000-A770-287803049655}"/>
    <cellStyle name="20% - Accent3 5 4" xfId="9184" xr:uid="{F51B2D95-9593-4370-A6D2-AFEF087D7920}"/>
    <cellStyle name="20% - Accent3 5 4 2" xfId="18502" xr:uid="{DF2C374E-CAB1-4BE4-815A-099EB69766DC}"/>
    <cellStyle name="20% - Accent3 5 5" xfId="10043" xr:uid="{DA5C4C42-3FCF-4EB3-8358-EB3C758B1932}"/>
    <cellStyle name="20% - Accent3 6" xfId="1039" xr:uid="{00000000-0005-0000-0000-0000D2010000}"/>
    <cellStyle name="20% - Accent3 6 2" xfId="3270" xr:uid="{00000000-0005-0000-0000-0000D3010000}"/>
    <cellStyle name="20% - Accent3 6 2 2" xfId="7492" xr:uid="{00000000-0005-0000-0000-0000D4010000}"/>
    <cellStyle name="20% - Accent3 6 2 2 2" xfId="16818" xr:uid="{B2A18622-2F18-4676-9593-C478ECABDC3B}"/>
    <cellStyle name="20% - Accent3 6 2 3" xfId="12601" xr:uid="{8FD951DA-7CE9-4864-AD3F-B2B273484DF2}"/>
    <cellStyle name="20% - Accent3 6 3" xfId="5347" xr:uid="{00000000-0005-0000-0000-0000D5010000}"/>
    <cellStyle name="20% - Accent3 6 3 2" xfId="14673" xr:uid="{0686FA69-20C8-4DAB-B07D-50827C568B16}"/>
    <cellStyle name="20% - Accent3 6 4" xfId="10456" xr:uid="{A35B0D18-0644-4675-A07B-C7615B2B8637}"/>
    <cellStyle name="20% - Accent3 7" xfId="1453" xr:uid="{00000000-0005-0000-0000-0000D6010000}"/>
    <cellStyle name="20% - Accent3 7 2" xfId="3683" xr:uid="{00000000-0005-0000-0000-0000D7010000}"/>
    <cellStyle name="20% - Accent3 7 2 2" xfId="7905" xr:uid="{00000000-0005-0000-0000-0000D8010000}"/>
    <cellStyle name="20% - Accent3 7 2 2 2" xfId="17231" xr:uid="{B2F401D6-50F6-4C69-92D6-65AB03BC4EB0}"/>
    <cellStyle name="20% - Accent3 7 2 3" xfId="13014" xr:uid="{D4E9DAE1-8FA0-4F17-B196-A224DF44CB75}"/>
    <cellStyle name="20% - Accent3 7 3" xfId="5760" xr:uid="{00000000-0005-0000-0000-0000D9010000}"/>
    <cellStyle name="20% - Accent3 7 3 2" xfId="15086" xr:uid="{C52CBC69-1D5F-4D59-942E-4D8F00E29006}"/>
    <cellStyle name="20% - Accent3 7 4" xfId="10869" xr:uid="{2F750453-4E28-4B45-9106-BAD9FDBAF344}"/>
    <cellStyle name="20% - Accent3 8" xfId="1867" xr:uid="{00000000-0005-0000-0000-0000DA010000}"/>
    <cellStyle name="20% - Accent3 8 2" xfId="4096" xr:uid="{00000000-0005-0000-0000-0000DB010000}"/>
    <cellStyle name="20% - Accent3 8 2 2" xfId="8318" xr:uid="{00000000-0005-0000-0000-0000DC010000}"/>
    <cellStyle name="20% - Accent3 8 2 2 2" xfId="17644" xr:uid="{15684A9E-9BD2-4BE9-84F4-80FCCD36EB5D}"/>
    <cellStyle name="20% - Accent3 8 2 3" xfId="13427" xr:uid="{F9249902-E947-4988-B1A6-05C053AF3682}"/>
    <cellStyle name="20% - Accent3 8 3" xfId="6173" xr:uid="{00000000-0005-0000-0000-0000DD010000}"/>
    <cellStyle name="20% - Accent3 8 3 2" xfId="15499" xr:uid="{C3B1E9C7-7212-4F11-A76D-09E5D70AFA59}"/>
    <cellStyle name="20% - Accent3 8 4" xfId="11282" xr:uid="{BC9364B3-BB72-40F7-85A5-46654F462BE4}"/>
    <cellStyle name="20% - Accent3 9" xfId="2280" xr:uid="{00000000-0005-0000-0000-0000DE010000}"/>
    <cellStyle name="20% - Accent3 9 2" xfId="6586" xr:uid="{00000000-0005-0000-0000-0000DF010000}"/>
    <cellStyle name="20% - Accent3 9 2 2" xfId="15912" xr:uid="{32124E7C-FD30-45AA-BDF1-8918F3D2F9E7}"/>
    <cellStyle name="20% - Accent3 9 3" xfId="11695" xr:uid="{7390BB8C-02D9-4F12-A88A-9BBB5D00DF7B}"/>
    <cellStyle name="20% - Accent4" xfId="25" builtinId="42" customBuiltin="1"/>
    <cellStyle name="20% - Accent4 10" xfId="4528" xr:uid="{00000000-0005-0000-0000-0000E1010000}"/>
    <cellStyle name="20% - Accent4 10 2" xfId="13854" xr:uid="{A4B40A3A-D8D4-4B1D-99AD-7443AEC6B3B8}"/>
    <cellStyle name="20% - Accent4 11" xfId="8764" xr:uid="{4A9BF508-806C-496D-AEC5-5842E4A62892}"/>
    <cellStyle name="20% - Accent4 11 2" xfId="18088" xr:uid="{94474D1A-D8B0-47CB-A8F7-C4FCDF9549B1}"/>
    <cellStyle name="20% - Accent4 12" xfId="9637" xr:uid="{F8957437-819B-4C15-B7D1-F990163449DF}"/>
    <cellStyle name="20% - Accent4 2" xfId="26" xr:uid="{00000000-0005-0000-0000-0000E2010000}"/>
    <cellStyle name="20% - Accent4 2 10" xfId="8794" xr:uid="{31A2F477-5237-45C2-B43F-25AC049A95FF}"/>
    <cellStyle name="20% - Accent4 2 10 2" xfId="18118" xr:uid="{872F7A4D-6304-4BE3-811D-A371DB9DA95B}"/>
    <cellStyle name="20% - Accent4 2 11" xfId="9638" xr:uid="{EBD9D529-C92B-45AB-94F1-F766430038A4}"/>
    <cellStyle name="20% - Accent4 2 2" xfId="27" xr:uid="{00000000-0005-0000-0000-0000E3010000}"/>
    <cellStyle name="20% - Accent4 2 2 10" xfId="9639" xr:uid="{661D523F-A9D7-49C9-B394-7AC754428EB3}"/>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2 2 2" xfId="16416" xr:uid="{E53CE8C6-9E01-43B5-B6C0-2FFE78E05019}"/>
    <cellStyle name="20% - Accent4 2 2 2 2 2 3" xfId="12199" xr:uid="{A8B67C5D-EBD8-4895-AF5B-2BBBDCDCC392}"/>
    <cellStyle name="20% - Accent4 2 2 2 2 3" xfId="4945" xr:uid="{00000000-0005-0000-0000-0000E8010000}"/>
    <cellStyle name="20% - Accent4 2 2 2 2 3 2" xfId="14271" xr:uid="{E80CC221-C86D-4D27-A297-CAB2BB4F9F8F}"/>
    <cellStyle name="20% - Accent4 2 2 2 2 4" xfId="9529" xr:uid="{0C40CE19-1873-4316-818D-CC943AAFBB7B}"/>
    <cellStyle name="20% - Accent4 2 2 2 2 4 2" xfId="18844" xr:uid="{325D6FF8-90F1-4F22-95E9-1E37A04CE38D}"/>
    <cellStyle name="20% - Accent4 2 2 2 2 5" xfId="10054" xr:uid="{8F56FEFD-4C4C-4662-BCDA-4137AE0EC983}"/>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2 2 2" xfId="16829" xr:uid="{B57DECE9-5E57-4EFD-BF67-87C4DB22B2FB}"/>
    <cellStyle name="20% - Accent4 2 2 2 3 2 3" xfId="12612" xr:uid="{57CBE435-937D-418B-9826-7CF490644008}"/>
    <cellStyle name="20% - Accent4 2 2 2 3 3" xfId="5358" xr:uid="{00000000-0005-0000-0000-0000EC010000}"/>
    <cellStyle name="20% - Accent4 2 2 2 3 3 2" xfId="14684" xr:uid="{89858705-299D-4E93-9EA3-45EFC70EA39A}"/>
    <cellStyle name="20% - Accent4 2 2 2 3 4" xfId="10467" xr:uid="{701371DC-D7FB-450D-B353-39F09B308EA8}"/>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2 2 2" xfId="17242" xr:uid="{0E4FFDE9-17DC-4B2C-8B10-8F068E7F3A6B}"/>
    <cellStyle name="20% - Accent4 2 2 2 4 2 3" xfId="13025" xr:uid="{33305489-E9F6-4F3A-A7F5-D90E105261F2}"/>
    <cellStyle name="20% - Accent4 2 2 2 4 3" xfId="5771" xr:uid="{00000000-0005-0000-0000-0000F0010000}"/>
    <cellStyle name="20% - Accent4 2 2 2 4 3 2" xfId="15097" xr:uid="{9CED812C-9E9D-43D2-951A-39A0ADFE8254}"/>
    <cellStyle name="20% - Accent4 2 2 2 4 4" xfId="10880" xr:uid="{80A74DCD-650F-42A6-8473-3F9E24A76469}"/>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2 2 2" xfId="17655" xr:uid="{BA2D72DC-427C-46DB-AE5C-994D96C907C1}"/>
    <cellStyle name="20% - Accent4 2 2 2 5 2 3" xfId="13438" xr:uid="{92068FD7-B3B4-4D55-ACD2-7C2CDEF2C966}"/>
    <cellStyle name="20% - Accent4 2 2 2 5 3" xfId="6184" xr:uid="{00000000-0005-0000-0000-0000F4010000}"/>
    <cellStyle name="20% - Accent4 2 2 2 5 3 2" xfId="15510" xr:uid="{30BD68C2-8A14-4914-9374-21C42EFA3728}"/>
    <cellStyle name="20% - Accent4 2 2 2 5 4" xfId="11293" xr:uid="{4F594E92-E22A-40B9-96E7-40F88A07065D}"/>
    <cellStyle name="20% - Accent4 2 2 2 6" xfId="2291" xr:uid="{00000000-0005-0000-0000-0000F5010000}"/>
    <cellStyle name="20% - Accent4 2 2 2 6 2" xfId="6597" xr:uid="{00000000-0005-0000-0000-0000F6010000}"/>
    <cellStyle name="20% - Accent4 2 2 2 6 2 2" xfId="15923" xr:uid="{299082DA-E2AA-42AC-A4DC-AAF073AC4D43}"/>
    <cellStyle name="20% - Accent4 2 2 2 6 3" xfId="11706" xr:uid="{B67290C6-2A52-4DDD-96E0-0204A3D50742}"/>
    <cellStyle name="20% - Accent4 2 2 2 7" xfId="4531" xr:uid="{00000000-0005-0000-0000-0000F7010000}"/>
    <cellStyle name="20% - Accent4 2 2 2 7 2" xfId="13857" xr:uid="{6CDB8923-6AE0-438C-9BC6-1F3C715E639F}"/>
    <cellStyle name="20% - Accent4 2 2 2 8" xfId="9104" xr:uid="{526BE306-22BA-4A85-81B2-34AEB56F0D90}"/>
    <cellStyle name="20% - Accent4 2 2 2 8 2" xfId="18428" xr:uid="{3C7A8FDA-81AE-4514-BAFD-05BCA284B993}"/>
    <cellStyle name="20% - Accent4 2 2 2 9" xfId="9640" xr:uid="{F8319A1D-11FD-4FBB-9B3E-D701D12BBD8B}"/>
    <cellStyle name="20% - Accent4 2 2 3" xfId="596" xr:uid="{00000000-0005-0000-0000-0000F8010000}"/>
    <cellStyle name="20% - Accent4 2 2 3 2" xfId="2867" xr:uid="{00000000-0005-0000-0000-0000F9010000}"/>
    <cellStyle name="20% - Accent4 2 2 3 2 2" xfId="7089" xr:uid="{00000000-0005-0000-0000-0000FA010000}"/>
    <cellStyle name="20% - Accent4 2 2 3 2 2 2" xfId="16415" xr:uid="{5621331E-54CE-4911-9D8A-D134D55B9A69}"/>
    <cellStyle name="20% - Accent4 2 2 3 2 3" xfId="12198" xr:uid="{34D13D3B-6BC6-4BA6-AE58-1C7DEC6C5DA9}"/>
    <cellStyle name="20% - Accent4 2 2 3 3" xfId="4944" xr:uid="{00000000-0005-0000-0000-0000FB010000}"/>
    <cellStyle name="20% - Accent4 2 2 3 3 2" xfId="14270" xr:uid="{58E97BDE-FFA9-479B-BD42-3542E086D481}"/>
    <cellStyle name="20% - Accent4 2 2 3 4" xfId="9322" xr:uid="{003BBE99-27AA-4036-A373-4475953A88F4}"/>
    <cellStyle name="20% - Accent4 2 2 3 4 2" xfId="18637" xr:uid="{09089927-BDB4-4829-8F56-5566E8FED599}"/>
    <cellStyle name="20% - Accent4 2 2 3 5" xfId="10053" xr:uid="{938CAC4A-E5DB-43E9-AA24-B40A85D14440}"/>
    <cellStyle name="20% - Accent4 2 2 4" xfId="1049" xr:uid="{00000000-0005-0000-0000-0000FC010000}"/>
    <cellStyle name="20% - Accent4 2 2 4 2" xfId="3280" xr:uid="{00000000-0005-0000-0000-0000FD010000}"/>
    <cellStyle name="20% - Accent4 2 2 4 2 2" xfId="7502" xr:uid="{00000000-0005-0000-0000-0000FE010000}"/>
    <cellStyle name="20% - Accent4 2 2 4 2 2 2" xfId="16828" xr:uid="{7C3019F6-BAB6-481C-A283-16F2E48A38FD}"/>
    <cellStyle name="20% - Accent4 2 2 4 2 3" xfId="12611" xr:uid="{BD233222-DEA0-42D5-B7BB-3127312CD70C}"/>
    <cellStyle name="20% - Accent4 2 2 4 3" xfId="5357" xr:uid="{00000000-0005-0000-0000-0000FF010000}"/>
    <cellStyle name="20% - Accent4 2 2 4 3 2" xfId="14683" xr:uid="{BDB1364A-E45E-4195-8545-4ED1991C2A50}"/>
    <cellStyle name="20% - Accent4 2 2 4 4" xfId="10466" xr:uid="{BF79C316-E2C3-4A11-BB8B-D2E990C00B84}"/>
    <cellStyle name="20% - Accent4 2 2 5" xfId="1463" xr:uid="{00000000-0005-0000-0000-000000020000}"/>
    <cellStyle name="20% - Accent4 2 2 5 2" xfId="3693" xr:uid="{00000000-0005-0000-0000-000001020000}"/>
    <cellStyle name="20% - Accent4 2 2 5 2 2" xfId="7915" xr:uid="{00000000-0005-0000-0000-000002020000}"/>
    <cellStyle name="20% - Accent4 2 2 5 2 2 2" xfId="17241" xr:uid="{B7BC1386-0DAA-4F5A-A5F6-2D51F79F2BEF}"/>
    <cellStyle name="20% - Accent4 2 2 5 2 3" xfId="13024" xr:uid="{1B1949A8-74B3-4F9C-B6D6-9A1264843C6F}"/>
    <cellStyle name="20% - Accent4 2 2 5 3" xfId="5770" xr:uid="{00000000-0005-0000-0000-000003020000}"/>
    <cellStyle name="20% - Accent4 2 2 5 3 2" xfId="15096" xr:uid="{467E2D01-55BD-4276-8036-781ED98258C0}"/>
    <cellStyle name="20% - Accent4 2 2 5 4" xfId="10879" xr:uid="{A47AB4F2-36BF-4B4D-8EFE-73973A766B81}"/>
    <cellStyle name="20% - Accent4 2 2 6" xfId="1877" xr:uid="{00000000-0005-0000-0000-000004020000}"/>
    <cellStyle name="20% - Accent4 2 2 6 2" xfId="4106" xr:uid="{00000000-0005-0000-0000-000005020000}"/>
    <cellStyle name="20% - Accent4 2 2 6 2 2" xfId="8328" xr:uid="{00000000-0005-0000-0000-000006020000}"/>
    <cellStyle name="20% - Accent4 2 2 6 2 2 2" xfId="17654" xr:uid="{7C571829-6836-47F4-B17E-A906446E455A}"/>
    <cellStyle name="20% - Accent4 2 2 6 2 3" xfId="13437" xr:uid="{9D85EF55-6F48-4F60-BDA9-57A948A64FD9}"/>
    <cellStyle name="20% - Accent4 2 2 6 3" xfId="6183" xr:uid="{00000000-0005-0000-0000-000007020000}"/>
    <cellStyle name="20% - Accent4 2 2 6 3 2" xfId="15509" xr:uid="{A5239C25-3911-43C9-9DBD-2F6C83B9475E}"/>
    <cellStyle name="20% - Accent4 2 2 6 4" xfId="11292" xr:uid="{DEA797AA-B62C-4C74-B536-EADB36607F9C}"/>
    <cellStyle name="20% - Accent4 2 2 7" xfId="2290" xr:uid="{00000000-0005-0000-0000-000008020000}"/>
    <cellStyle name="20% - Accent4 2 2 7 2" xfId="6596" xr:uid="{00000000-0005-0000-0000-000009020000}"/>
    <cellStyle name="20% - Accent4 2 2 7 2 2" xfId="15922" xr:uid="{53BE92C6-E11D-47DE-80F2-99F6E0362F40}"/>
    <cellStyle name="20% - Accent4 2 2 7 3" xfId="11705" xr:uid="{A04B0D43-0D97-4043-88D7-4389E15BBAD1}"/>
    <cellStyle name="20% - Accent4 2 2 8" xfId="4530" xr:uid="{00000000-0005-0000-0000-00000A020000}"/>
    <cellStyle name="20% - Accent4 2 2 8 2" xfId="13856" xr:uid="{407D034B-3667-4140-83E2-0887252A44E0}"/>
    <cellStyle name="20% - Accent4 2 2 9" xfId="8897" xr:uid="{3A58A73C-0193-4EAC-8E12-5BF8743CE9BA}"/>
    <cellStyle name="20% - Accent4 2 2 9 2" xfId="18221" xr:uid="{FEDDAF72-84C9-4506-AEF4-25E86F7B04ED}"/>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2 2 2" xfId="16417" xr:uid="{525560C1-8143-4B1C-936B-7A536B2502A8}"/>
    <cellStyle name="20% - Accent4 2 3 2 2 3" xfId="12200" xr:uid="{D75875CC-9B5C-4C07-9F0D-DBE7676B23ED}"/>
    <cellStyle name="20% - Accent4 2 3 2 3" xfId="4946" xr:uid="{00000000-0005-0000-0000-00000F020000}"/>
    <cellStyle name="20% - Accent4 2 3 2 3 2" xfId="14272" xr:uid="{56D89709-E65B-4C1F-8E16-7D68B5DD44E8}"/>
    <cellStyle name="20% - Accent4 2 3 2 4" xfId="9426" xr:uid="{5B247D51-FBFD-4799-8395-E3F1C04297B8}"/>
    <cellStyle name="20% - Accent4 2 3 2 4 2" xfId="18741" xr:uid="{2A52F1A4-16AD-4761-928F-EA3FF44EB699}"/>
    <cellStyle name="20% - Accent4 2 3 2 5" xfId="10055" xr:uid="{8DA61145-6D88-44A5-9B13-071F3CC81D6B}"/>
    <cellStyle name="20% - Accent4 2 3 3" xfId="1051" xr:uid="{00000000-0005-0000-0000-000010020000}"/>
    <cellStyle name="20% - Accent4 2 3 3 2" xfId="3282" xr:uid="{00000000-0005-0000-0000-000011020000}"/>
    <cellStyle name="20% - Accent4 2 3 3 2 2" xfId="7504" xr:uid="{00000000-0005-0000-0000-000012020000}"/>
    <cellStyle name="20% - Accent4 2 3 3 2 2 2" xfId="16830" xr:uid="{2C753A2F-1968-4461-A29B-ABFB85AF0FEC}"/>
    <cellStyle name="20% - Accent4 2 3 3 2 3" xfId="12613" xr:uid="{3B0D0727-E17F-418C-B9B6-A4863537DDD2}"/>
    <cellStyle name="20% - Accent4 2 3 3 3" xfId="5359" xr:uid="{00000000-0005-0000-0000-000013020000}"/>
    <cellStyle name="20% - Accent4 2 3 3 3 2" xfId="14685" xr:uid="{DD09E949-2C9A-4468-ABE9-FA6EB066E1D8}"/>
    <cellStyle name="20% - Accent4 2 3 3 4" xfId="10468" xr:uid="{103B0CA5-BC64-4DF5-9543-C6DCC4794687}"/>
    <cellStyle name="20% - Accent4 2 3 4" xfId="1465" xr:uid="{00000000-0005-0000-0000-000014020000}"/>
    <cellStyle name="20% - Accent4 2 3 4 2" xfId="3695" xr:uid="{00000000-0005-0000-0000-000015020000}"/>
    <cellStyle name="20% - Accent4 2 3 4 2 2" xfId="7917" xr:uid="{00000000-0005-0000-0000-000016020000}"/>
    <cellStyle name="20% - Accent4 2 3 4 2 2 2" xfId="17243" xr:uid="{B13392FB-43B4-454F-ACF8-06B8325329AD}"/>
    <cellStyle name="20% - Accent4 2 3 4 2 3" xfId="13026" xr:uid="{8B6F63A8-2CA9-4A8F-B8A5-C9B35253E205}"/>
    <cellStyle name="20% - Accent4 2 3 4 3" xfId="5772" xr:uid="{00000000-0005-0000-0000-000017020000}"/>
    <cellStyle name="20% - Accent4 2 3 4 3 2" xfId="15098" xr:uid="{5528CF94-77B3-444F-9C51-2516495B4DA7}"/>
    <cellStyle name="20% - Accent4 2 3 4 4" xfId="10881" xr:uid="{6A760E94-C764-4230-B4E1-F57EC1FE0A81}"/>
    <cellStyle name="20% - Accent4 2 3 5" xfId="1879" xr:uid="{00000000-0005-0000-0000-000018020000}"/>
    <cellStyle name="20% - Accent4 2 3 5 2" xfId="4108" xr:uid="{00000000-0005-0000-0000-000019020000}"/>
    <cellStyle name="20% - Accent4 2 3 5 2 2" xfId="8330" xr:uid="{00000000-0005-0000-0000-00001A020000}"/>
    <cellStyle name="20% - Accent4 2 3 5 2 2 2" xfId="17656" xr:uid="{54C67213-CF7E-4801-9704-F9B3D3BE3306}"/>
    <cellStyle name="20% - Accent4 2 3 5 2 3" xfId="13439" xr:uid="{F7D08027-7A97-4F8B-A344-CF00CAD259BE}"/>
    <cellStyle name="20% - Accent4 2 3 5 3" xfId="6185" xr:uid="{00000000-0005-0000-0000-00001B020000}"/>
    <cellStyle name="20% - Accent4 2 3 5 3 2" xfId="15511" xr:uid="{628D5CEE-F0EA-4A4D-80DC-F03B6598682D}"/>
    <cellStyle name="20% - Accent4 2 3 5 4" xfId="11294" xr:uid="{8691A440-6A55-4A47-8D66-A88F43F5C2D6}"/>
    <cellStyle name="20% - Accent4 2 3 6" xfId="2292" xr:uid="{00000000-0005-0000-0000-00001C020000}"/>
    <cellStyle name="20% - Accent4 2 3 6 2" xfId="6598" xr:uid="{00000000-0005-0000-0000-00001D020000}"/>
    <cellStyle name="20% - Accent4 2 3 6 2 2" xfId="15924" xr:uid="{A0132760-AE44-4039-91F6-500DC606D827}"/>
    <cellStyle name="20% - Accent4 2 3 6 3" xfId="11707" xr:uid="{EFB48033-FE57-40A3-BFD0-F1BD73B5AD82}"/>
    <cellStyle name="20% - Accent4 2 3 7" xfId="4532" xr:uid="{00000000-0005-0000-0000-00001E020000}"/>
    <cellStyle name="20% - Accent4 2 3 7 2" xfId="13858" xr:uid="{343DED2C-3026-4DEF-A9E2-86AF4849F6D2}"/>
    <cellStyle name="20% - Accent4 2 3 8" xfId="9001" xr:uid="{B9DE6BBA-06E2-4FC8-B645-F20E60244072}"/>
    <cellStyle name="20% - Accent4 2 3 8 2" xfId="18325" xr:uid="{6A48DA5D-F479-4241-9BBD-08312E021806}"/>
    <cellStyle name="20% - Accent4 2 3 9" xfId="9641" xr:uid="{C949583A-8542-4D1D-AC7E-B21911FDB622}"/>
    <cellStyle name="20% - Accent4 2 4" xfId="595" xr:uid="{00000000-0005-0000-0000-00001F020000}"/>
    <cellStyle name="20% - Accent4 2 4 2" xfId="2866" xr:uid="{00000000-0005-0000-0000-000020020000}"/>
    <cellStyle name="20% - Accent4 2 4 2 2" xfId="7088" xr:uid="{00000000-0005-0000-0000-000021020000}"/>
    <cellStyle name="20% - Accent4 2 4 2 2 2" xfId="16414" xr:uid="{316C8152-BE7B-4E42-8B03-5F657B3AAD71}"/>
    <cellStyle name="20% - Accent4 2 4 2 3" xfId="12197" xr:uid="{66F1B171-C756-4D3A-A69D-4D38C53095A2}"/>
    <cellStyle name="20% - Accent4 2 4 3" xfId="4943" xr:uid="{00000000-0005-0000-0000-000022020000}"/>
    <cellStyle name="20% - Accent4 2 4 3 2" xfId="14269" xr:uid="{3A151ABA-502A-4774-BC84-35E967B319B0}"/>
    <cellStyle name="20% - Accent4 2 4 4" xfId="9218" xr:uid="{EEA9CEE5-7B27-41EB-B571-13D0ADC44445}"/>
    <cellStyle name="20% - Accent4 2 4 4 2" xfId="18534" xr:uid="{A5C3191C-A1F8-4B0F-AFE2-E2B11B05409F}"/>
    <cellStyle name="20% - Accent4 2 4 5" xfId="10052" xr:uid="{37091F35-8677-43C6-837A-70851C06EAA5}"/>
    <cellStyle name="20% - Accent4 2 5" xfId="1048" xr:uid="{00000000-0005-0000-0000-000023020000}"/>
    <cellStyle name="20% - Accent4 2 5 2" xfId="3279" xr:uid="{00000000-0005-0000-0000-000024020000}"/>
    <cellStyle name="20% - Accent4 2 5 2 2" xfId="7501" xr:uid="{00000000-0005-0000-0000-000025020000}"/>
    <cellStyle name="20% - Accent4 2 5 2 2 2" xfId="16827" xr:uid="{5AEA428C-04BC-4D46-9710-255F4D941851}"/>
    <cellStyle name="20% - Accent4 2 5 2 3" xfId="12610" xr:uid="{DFA24943-90C5-409D-9DDC-9F798099F38D}"/>
    <cellStyle name="20% - Accent4 2 5 3" xfId="5356" xr:uid="{00000000-0005-0000-0000-000026020000}"/>
    <cellStyle name="20% - Accent4 2 5 3 2" xfId="14682" xr:uid="{5A306E7A-D50B-4866-99F1-2DBCF1399502}"/>
    <cellStyle name="20% - Accent4 2 5 4" xfId="10465" xr:uid="{DF36D176-23E7-490B-8BCA-E0D2B1D23034}"/>
    <cellStyle name="20% - Accent4 2 6" xfId="1462" xr:uid="{00000000-0005-0000-0000-000027020000}"/>
    <cellStyle name="20% - Accent4 2 6 2" xfId="3692" xr:uid="{00000000-0005-0000-0000-000028020000}"/>
    <cellStyle name="20% - Accent4 2 6 2 2" xfId="7914" xr:uid="{00000000-0005-0000-0000-000029020000}"/>
    <cellStyle name="20% - Accent4 2 6 2 2 2" xfId="17240" xr:uid="{5E80C781-12DD-455D-9EAE-A0214DCE9831}"/>
    <cellStyle name="20% - Accent4 2 6 2 3" xfId="13023" xr:uid="{CF98E0DC-2B65-4B01-A475-A6F87B0893E4}"/>
    <cellStyle name="20% - Accent4 2 6 3" xfId="5769" xr:uid="{00000000-0005-0000-0000-00002A020000}"/>
    <cellStyle name="20% - Accent4 2 6 3 2" xfId="15095" xr:uid="{30654E01-2B6C-4308-894E-08E7CB242DE3}"/>
    <cellStyle name="20% - Accent4 2 6 4" xfId="10878" xr:uid="{736D0F91-7B1D-4002-8269-D8250D98F4BA}"/>
    <cellStyle name="20% - Accent4 2 7" xfId="1876" xr:uid="{00000000-0005-0000-0000-00002B020000}"/>
    <cellStyle name="20% - Accent4 2 7 2" xfId="4105" xr:uid="{00000000-0005-0000-0000-00002C020000}"/>
    <cellStyle name="20% - Accent4 2 7 2 2" xfId="8327" xr:uid="{00000000-0005-0000-0000-00002D020000}"/>
    <cellStyle name="20% - Accent4 2 7 2 2 2" xfId="17653" xr:uid="{8F72E97F-D88D-4613-ACE8-5B8BE03F4800}"/>
    <cellStyle name="20% - Accent4 2 7 2 3" xfId="13436" xr:uid="{2A1820BC-3993-4E0C-8917-8FC0CBF03AE8}"/>
    <cellStyle name="20% - Accent4 2 7 3" xfId="6182" xr:uid="{00000000-0005-0000-0000-00002E020000}"/>
    <cellStyle name="20% - Accent4 2 7 3 2" xfId="15508" xr:uid="{E423890C-5F4A-4FC7-9BEC-873B9DD2F90D}"/>
    <cellStyle name="20% - Accent4 2 7 4" xfId="11291" xr:uid="{023C73CF-BCAC-432F-9C63-68243D12C5D2}"/>
    <cellStyle name="20% - Accent4 2 8" xfId="2289" xr:uid="{00000000-0005-0000-0000-00002F020000}"/>
    <cellStyle name="20% - Accent4 2 8 2" xfId="6595" xr:uid="{00000000-0005-0000-0000-000030020000}"/>
    <cellStyle name="20% - Accent4 2 8 2 2" xfId="15921" xr:uid="{672108C0-B7E4-4AA9-B6B3-E83C31ACA499}"/>
    <cellStyle name="20% - Accent4 2 8 3" xfId="11704" xr:uid="{994FEC95-0DBB-4DE5-BE04-17BE0EBFAC4A}"/>
    <cellStyle name="20% - Accent4 2 9" xfId="4529" xr:uid="{00000000-0005-0000-0000-000031020000}"/>
    <cellStyle name="20% - Accent4 2 9 2" xfId="13855" xr:uid="{931D43DA-AF09-4C8E-9EB5-6D7B2185146B}"/>
    <cellStyle name="20% - Accent4 3" xfId="30" xr:uid="{00000000-0005-0000-0000-000032020000}"/>
    <cellStyle name="20% - Accent4 3 10" xfId="9642" xr:uid="{394E1D94-44B5-4C37-B7B8-D2CB4ABF88EE}"/>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2 2 2" xfId="16419" xr:uid="{0FA5D8A6-D8EE-4501-899E-5F2B120E8CB2}"/>
    <cellStyle name="20% - Accent4 3 2 2 2 3" xfId="12202" xr:uid="{BF2866B6-A915-4719-A552-52486F000532}"/>
    <cellStyle name="20% - Accent4 3 2 2 3" xfId="4948" xr:uid="{00000000-0005-0000-0000-000037020000}"/>
    <cellStyle name="20% - Accent4 3 2 2 3 2" xfId="14274" xr:uid="{DCDCBAF1-A2A9-43DC-AD8C-D51386995B65}"/>
    <cellStyle name="20% - Accent4 3 2 2 4" xfId="9499" xr:uid="{019308F4-938B-408B-A627-483AF94276A0}"/>
    <cellStyle name="20% - Accent4 3 2 2 4 2" xfId="18814" xr:uid="{61F91667-3DB8-4010-9566-EA83594CB9F8}"/>
    <cellStyle name="20% - Accent4 3 2 2 5" xfId="10057" xr:uid="{1901E8A7-99BE-4513-A7A1-08739A3AEE05}"/>
    <cellStyle name="20% - Accent4 3 2 3" xfId="1053" xr:uid="{00000000-0005-0000-0000-000038020000}"/>
    <cellStyle name="20% - Accent4 3 2 3 2" xfId="3284" xr:uid="{00000000-0005-0000-0000-000039020000}"/>
    <cellStyle name="20% - Accent4 3 2 3 2 2" xfId="7506" xr:uid="{00000000-0005-0000-0000-00003A020000}"/>
    <cellStyle name="20% - Accent4 3 2 3 2 2 2" xfId="16832" xr:uid="{70840E24-D0C4-445E-8D9E-F557E4F47833}"/>
    <cellStyle name="20% - Accent4 3 2 3 2 3" xfId="12615" xr:uid="{BAC4F432-5700-4384-AC02-F7765377407F}"/>
    <cellStyle name="20% - Accent4 3 2 3 3" xfId="5361" xr:uid="{00000000-0005-0000-0000-00003B020000}"/>
    <cellStyle name="20% - Accent4 3 2 3 3 2" xfId="14687" xr:uid="{11F7DBEC-DE6E-4C65-B279-70BBA607F8B5}"/>
    <cellStyle name="20% - Accent4 3 2 3 4" xfId="10470" xr:uid="{EC1ECC53-0806-4D63-AF53-22BA543349A6}"/>
    <cellStyle name="20% - Accent4 3 2 4" xfId="1467" xr:uid="{00000000-0005-0000-0000-00003C020000}"/>
    <cellStyle name="20% - Accent4 3 2 4 2" xfId="3697" xr:uid="{00000000-0005-0000-0000-00003D020000}"/>
    <cellStyle name="20% - Accent4 3 2 4 2 2" xfId="7919" xr:uid="{00000000-0005-0000-0000-00003E020000}"/>
    <cellStyle name="20% - Accent4 3 2 4 2 2 2" xfId="17245" xr:uid="{48435667-39C1-48C8-BB7D-0242E4A61204}"/>
    <cellStyle name="20% - Accent4 3 2 4 2 3" xfId="13028" xr:uid="{C73BFD57-976A-4B50-B67E-F62C152D7C38}"/>
    <cellStyle name="20% - Accent4 3 2 4 3" xfId="5774" xr:uid="{00000000-0005-0000-0000-00003F020000}"/>
    <cellStyle name="20% - Accent4 3 2 4 3 2" xfId="15100" xr:uid="{97F8A44C-81EB-4F16-AC45-83405BDD2A46}"/>
    <cellStyle name="20% - Accent4 3 2 4 4" xfId="10883" xr:uid="{AC695B04-CA22-4B6F-9CB2-AEBDD418941C}"/>
    <cellStyle name="20% - Accent4 3 2 5" xfId="1881" xr:uid="{00000000-0005-0000-0000-000040020000}"/>
    <cellStyle name="20% - Accent4 3 2 5 2" xfId="4110" xr:uid="{00000000-0005-0000-0000-000041020000}"/>
    <cellStyle name="20% - Accent4 3 2 5 2 2" xfId="8332" xr:uid="{00000000-0005-0000-0000-000042020000}"/>
    <cellStyle name="20% - Accent4 3 2 5 2 2 2" xfId="17658" xr:uid="{684F3F8F-7512-488B-B252-0E6A760A9C33}"/>
    <cellStyle name="20% - Accent4 3 2 5 2 3" xfId="13441" xr:uid="{04DA8311-DDDF-4526-AF77-059DDE21FE99}"/>
    <cellStyle name="20% - Accent4 3 2 5 3" xfId="6187" xr:uid="{00000000-0005-0000-0000-000043020000}"/>
    <cellStyle name="20% - Accent4 3 2 5 3 2" xfId="15513" xr:uid="{B89C4173-0741-49FE-92ED-4B510C4608FA}"/>
    <cellStyle name="20% - Accent4 3 2 5 4" xfId="11296" xr:uid="{DDDC1AA1-A275-46A9-9362-B56DDCD2F845}"/>
    <cellStyle name="20% - Accent4 3 2 6" xfId="2294" xr:uid="{00000000-0005-0000-0000-000044020000}"/>
    <cellStyle name="20% - Accent4 3 2 6 2" xfId="6600" xr:uid="{00000000-0005-0000-0000-000045020000}"/>
    <cellStyle name="20% - Accent4 3 2 6 2 2" xfId="15926" xr:uid="{557BB09E-959E-4BA1-BD64-361D690B8C99}"/>
    <cellStyle name="20% - Accent4 3 2 6 3" xfId="11709" xr:uid="{B4456BD0-65C3-445A-B26C-A6DBBF10252A}"/>
    <cellStyle name="20% - Accent4 3 2 7" xfId="4534" xr:uid="{00000000-0005-0000-0000-000046020000}"/>
    <cellStyle name="20% - Accent4 3 2 7 2" xfId="13860" xr:uid="{4DA801F7-C73E-4D53-B131-5D1A458C2EE7}"/>
    <cellStyle name="20% - Accent4 3 2 8" xfId="9074" xr:uid="{BA25EAA8-2B5F-4309-91A3-FC61FCEF209C}"/>
    <cellStyle name="20% - Accent4 3 2 8 2" xfId="18398" xr:uid="{C25C2E7F-C530-40A1-87A8-F8E6FB9FEFE8}"/>
    <cellStyle name="20% - Accent4 3 2 9" xfId="9643" xr:uid="{DA23CDBA-BFC3-4FA3-AE19-FF5A9BE561BA}"/>
    <cellStyle name="20% - Accent4 3 3" xfId="599" xr:uid="{00000000-0005-0000-0000-000047020000}"/>
    <cellStyle name="20% - Accent4 3 3 2" xfId="2870" xr:uid="{00000000-0005-0000-0000-000048020000}"/>
    <cellStyle name="20% - Accent4 3 3 2 2" xfId="7092" xr:uid="{00000000-0005-0000-0000-000049020000}"/>
    <cellStyle name="20% - Accent4 3 3 2 2 2" xfId="16418" xr:uid="{BECD4F89-6D9B-4304-93FC-F9D1FF7E54D5}"/>
    <cellStyle name="20% - Accent4 3 3 2 3" xfId="12201" xr:uid="{970B9D0B-720A-492F-AE4B-465954E91F31}"/>
    <cellStyle name="20% - Accent4 3 3 3" xfId="4947" xr:uid="{00000000-0005-0000-0000-00004A020000}"/>
    <cellStyle name="20% - Accent4 3 3 3 2" xfId="14273" xr:uid="{EED0E02B-08CC-4CA4-9378-29419CBFE72F}"/>
    <cellStyle name="20% - Accent4 3 3 4" xfId="9292" xr:uid="{E33AB5E9-A8F9-45CB-AD95-0E461E901C30}"/>
    <cellStyle name="20% - Accent4 3 3 4 2" xfId="18607" xr:uid="{04AEEC4C-62F3-409F-8F16-5FAB8C26C014}"/>
    <cellStyle name="20% - Accent4 3 3 5" xfId="10056" xr:uid="{A318EEE2-C8B2-4224-B59B-DBC8C92D4765}"/>
    <cellStyle name="20% - Accent4 3 4" xfId="1052" xr:uid="{00000000-0005-0000-0000-00004B020000}"/>
    <cellStyle name="20% - Accent4 3 4 2" xfId="3283" xr:uid="{00000000-0005-0000-0000-00004C020000}"/>
    <cellStyle name="20% - Accent4 3 4 2 2" xfId="7505" xr:uid="{00000000-0005-0000-0000-00004D020000}"/>
    <cellStyle name="20% - Accent4 3 4 2 2 2" xfId="16831" xr:uid="{62470B0B-9487-4E3D-B3A3-83CC01CF0E5D}"/>
    <cellStyle name="20% - Accent4 3 4 2 3" xfId="12614" xr:uid="{671DF2BF-8023-485D-A8F6-AB48450399F5}"/>
    <cellStyle name="20% - Accent4 3 4 3" xfId="5360" xr:uid="{00000000-0005-0000-0000-00004E020000}"/>
    <cellStyle name="20% - Accent4 3 4 3 2" xfId="14686" xr:uid="{87A3D709-2E5B-4697-8AE9-7616EF519C61}"/>
    <cellStyle name="20% - Accent4 3 4 4" xfId="10469" xr:uid="{E90FC8C4-84ED-4FF4-96E2-B2C6710C40B2}"/>
    <cellStyle name="20% - Accent4 3 5" xfId="1466" xr:uid="{00000000-0005-0000-0000-00004F020000}"/>
    <cellStyle name="20% - Accent4 3 5 2" xfId="3696" xr:uid="{00000000-0005-0000-0000-000050020000}"/>
    <cellStyle name="20% - Accent4 3 5 2 2" xfId="7918" xr:uid="{00000000-0005-0000-0000-000051020000}"/>
    <cellStyle name="20% - Accent4 3 5 2 2 2" xfId="17244" xr:uid="{CEECB871-4713-4533-B51F-A4753E9B3374}"/>
    <cellStyle name="20% - Accent4 3 5 2 3" xfId="13027" xr:uid="{2C713A9B-025F-4386-B34B-DCB8609CA3E4}"/>
    <cellStyle name="20% - Accent4 3 5 3" xfId="5773" xr:uid="{00000000-0005-0000-0000-000052020000}"/>
    <cellStyle name="20% - Accent4 3 5 3 2" xfId="15099" xr:uid="{79F0DEC7-1751-4391-8AED-523D91C8FD6A}"/>
    <cellStyle name="20% - Accent4 3 5 4" xfId="10882" xr:uid="{1F176518-21E3-4461-AD2C-0217CCBA1C70}"/>
    <cellStyle name="20% - Accent4 3 6" xfId="1880" xr:uid="{00000000-0005-0000-0000-000053020000}"/>
    <cellStyle name="20% - Accent4 3 6 2" xfId="4109" xr:uid="{00000000-0005-0000-0000-000054020000}"/>
    <cellStyle name="20% - Accent4 3 6 2 2" xfId="8331" xr:uid="{00000000-0005-0000-0000-000055020000}"/>
    <cellStyle name="20% - Accent4 3 6 2 2 2" xfId="17657" xr:uid="{C11C3113-8BB2-4A88-A3A1-0649CB96CF2D}"/>
    <cellStyle name="20% - Accent4 3 6 2 3" xfId="13440" xr:uid="{464A2390-CB4A-49B4-B3C4-D78FA3BF0CCD}"/>
    <cellStyle name="20% - Accent4 3 6 3" xfId="6186" xr:uid="{00000000-0005-0000-0000-000056020000}"/>
    <cellStyle name="20% - Accent4 3 6 3 2" xfId="15512" xr:uid="{DB08C60A-28BE-440B-B57B-D2FC98EEFA51}"/>
    <cellStyle name="20% - Accent4 3 6 4" xfId="11295" xr:uid="{A994459A-A49C-431E-AFFB-F76EBC4C79F5}"/>
    <cellStyle name="20% - Accent4 3 7" xfId="2293" xr:uid="{00000000-0005-0000-0000-000057020000}"/>
    <cellStyle name="20% - Accent4 3 7 2" xfId="6599" xr:uid="{00000000-0005-0000-0000-000058020000}"/>
    <cellStyle name="20% - Accent4 3 7 2 2" xfId="15925" xr:uid="{C85D9D6D-CCE1-41FE-AEA3-AC80B3970C74}"/>
    <cellStyle name="20% - Accent4 3 7 3" xfId="11708" xr:uid="{AF9F09B9-F6B0-4DB1-A1A4-7ABBD92BED31}"/>
    <cellStyle name="20% - Accent4 3 8" xfId="4533" xr:uid="{00000000-0005-0000-0000-000059020000}"/>
    <cellStyle name="20% - Accent4 3 8 2" xfId="13859" xr:uid="{1D6A8405-37B8-49A7-AD76-034EC42681D0}"/>
    <cellStyle name="20% - Accent4 3 9" xfId="8867" xr:uid="{27FB4CEF-7F56-4AEC-B5AC-6B6A1477FBD8}"/>
    <cellStyle name="20% - Accent4 3 9 2" xfId="18191" xr:uid="{E1C5990B-306D-4B59-A53D-D9B1E9CA4800}"/>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2 2 2" xfId="16420" xr:uid="{3A5B3334-CBA0-4BEA-A88F-B7AC9336EEC6}"/>
    <cellStyle name="20% - Accent4 4 2 2 3" xfId="12203" xr:uid="{7AEBE896-66B9-45DE-A5BA-FE17158187AA}"/>
    <cellStyle name="20% - Accent4 4 2 3" xfId="4949" xr:uid="{00000000-0005-0000-0000-00005E020000}"/>
    <cellStyle name="20% - Accent4 4 2 3 2" xfId="14275" xr:uid="{32617CF2-F35A-419D-B070-3FB1C33138CD}"/>
    <cellStyle name="20% - Accent4 4 2 4" xfId="9378" xr:uid="{761B3D4A-2751-4646-8A50-05A0DD408525}"/>
    <cellStyle name="20% - Accent4 4 2 4 2" xfId="18693" xr:uid="{078881BB-73A1-4C12-AD17-F886E440D4B2}"/>
    <cellStyle name="20% - Accent4 4 2 5" xfId="10058" xr:uid="{BBC12597-A305-413C-8BA9-F9F4CEB5D1E1}"/>
    <cellStyle name="20% - Accent4 4 3" xfId="1054" xr:uid="{00000000-0005-0000-0000-00005F020000}"/>
    <cellStyle name="20% - Accent4 4 3 2" xfId="3285" xr:uid="{00000000-0005-0000-0000-000060020000}"/>
    <cellStyle name="20% - Accent4 4 3 2 2" xfId="7507" xr:uid="{00000000-0005-0000-0000-000061020000}"/>
    <cellStyle name="20% - Accent4 4 3 2 2 2" xfId="16833" xr:uid="{39695B82-F356-4334-BBBF-5CF4BFE73B17}"/>
    <cellStyle name="20% - Accent4 4 3 2 3" xfId="12616" xr:uid="{5B7BCCF7-0962-4599-8CA0-923B197CCB71}"/>
    <cellStyle name="20% - Accent4 4 3 3" xfId="5362" xr:uid="{00000000-0005-0000-0000-000062020000}"/>
    <cellStyle name="20% - Accent4 4 3 3 2" xfId="14688" xr:uid="{A344D679-0108-4902-9A2F-4201866F29DF}"/>
    <cellStyle name="20% - Accent4 4 3 4" xfId="10471" xr:uid="{BA1A2800-A6B3-463D-9973-5330F19083AA}"/>
    <cellStyle name="20% - Accent4 4 4" xfId="1468" xr:uid="{00000000-0005-0000-0000-000063020000}"/>
    <cellStyle name="20% - Accent4 4 4 2" xfId="3698" xr:uid="{00000000-0005-0000-0000-000064020000}"/>
    <cellStyle name="20% - Accent4 4 4 2 2" xfId="7920" xr:uid="{00000000-0005-0000-0000-000065020000}"/>
    <cellStyle name="20% - Accent4 4 4 2 2 2" xfId="17246" xr:uid="{62C57E52-87E3-4313-AD2E-3AF144231301}"/>
    <cellStyle name="20% - Accent4 4 4 2 3" xfId="13029" xr:uid="{2BA07A20-E57D-4BA8-BAAB-06601EF9343E}"/>
    <cellStyle name="20% - Accent4 4 4 3" xfId="5775" xr:uid="{00000000-0005-0000-0000-000066020000}"/>
    <cellStyle name="20% - Accent4 4 4 3 2" xfId="15101" xr:uid="{63D8327D-A953-40C2-BC99-A26BA8AA9463}"/>
    <cellStyle name="20% - Accent4 4 4 4" xfId="10884" xr:uid="{93B4D4C4-00A3-4AB0-9409-F535F6C85114}"/>
    <cellStyle name="20% - Accent4 4 5" xfId="1882" xr:uid="{00000000-0005-0000-0000-000067020000}"/>
    <cellStyle name="20% - Accent4 4 5 2" xfId="4111" xr:uid="{00000000-0005-0000-0000-000068020000}"/>
    <cellStyle name="20% - Accent4 4 5 2 2" xfId="8333" xr:uid="{00000000-0005-0000-0000-000069020000}"/>
    <cellStyle name="20% - Accent4 4 5 2 2 2" xfId="17659" xr:uid="{BBD95A48-7914-4575-AAA2-D5C016B8908F}"/>
    <cellStyle name="20% - Accent4 4 5 2 3" xfId="13442" xr:uid="{05D0D30F-90CE-4B98-92CA-AAA6476DF3AE}"/>
    <cellStyle name="20% - Accent4 4 5 3" xfId="6188" xr:uid="{00000000-0005-0000-0000-00006A020000}"/>
    <cellStyle name="20% - Accent4 4 5 3 2" xfId="15514" xr:uid="{8BF9064F-8993-4111-B257-7875966F9AE6}"/>
    <cellStyle name="20% - Accent4 4 5 4" xfId="11297" xr:uid="{E62A894A-A15B-456B-BA86-84ED71301071}"/>
    <cellStyle name="20% - Accent4 4 6" xfId="2295" xr:uid="{00000000-0005-0000-0000-00006B020000}"/>
    <cellStyle name="20% - Accent4 4 6 2" xfId="6601" xr:uid="{00000000-0005-0000-0000-00006C020000}"/>
    <cellStyle name="20% - Accent4 4 6 2 2" xfId="15927" xr:uid="{D0A1C57C-8918-46A2-8DA8-367D143FB6C3}"/>
    <cellStyle name="20% - Accent4 4 6 3" xfId="11710" xr:uid="{23E81D68-CBEF-4988-8857-776EA7E86251}"/>
    <cellStyle name="20% - Accent4 4 7" xfId="4535" xr:uid="{00000000-0005-0000-0000-00006D020000}"/>
    <cellStyle name="20% - Accent4 4 7 2" xfId="13861" xr:uid="{22FD5974-8340-46FD-A04A-5388FA8C5108}"/>
    <cellStyle name="20% - Accent4 4 8" xfId="8953" xr:uid="{66D1590A-BB3A-4B79-BA94-169F97E79370}"/>
    <cellStyle name="20% - Accent4 4 8 2" xfId="18277" xr:uid="{2BE1E10E-6AD9-4D73-9C19-0B3DA542FB7A}"/>
    <cellStyle name="20% - Accent4 4 9" xfId="9644" xr:uid="{33F5D110-F851-447B-9598-574BD7E1C89F}"/>
    <cellStyle name="20% - Accent4 5" xfId="594" xr:uid="{00000000-0005-0000-0000-00006E020000}"/>
    <cellStyle name="20% - Accent4 5 2" xfId="2865" xr:uid="{00000000-0005-0000-0000-00006F020000}"/>
    <cellStyle name="20% - Accent4 5 2 2" xfId="7087" xr:uid="{00000000-0005-0000-0000-000070020000}"/>
    <cellStyle name="20% - Accent4 5 2 2 2" xfId="16413" xr:uid="{709EB864-EF5A-4CE6-8AEF-69A028E63E52}"/>
    <cellStyle name="20% - Accent4 5 2 3" xfId="12196" xr:uid="{03EAD334-92B5-45A9-8E72-E7BC7D00E185}"/>
    <cellStyle name="20% - Accent4 5 3" xfId="4942" xr:uid="{00000000-0005-0000-0000-000071020000}"/>
    <cellStyle name="20% - Accent4 5 3 2" xfId="14268" xr:uid="{09624E54-CC74-4C8A-AA63-F7496D23AC47}"/>
    <cellStyle name="20% - Accent4 5 4" xfId="9186" xr:uid="{E62ED282-F767-404B-ADA1-4F8E5B4D01EB}"/>
    <cellStyle name="20% - Accent4 5 4 2" xfId="18504" xr:uid="{33BD5750-FC01-4A2C-9E3A-12C4D19BFB8B}"/>
    <cellStyle name="20% - Accent4 5 5" xfId="10051" xr:uid="{6E4FAC01-1AF3-4FA9-8DFA-7386391F6E3F}"/>
    <cellStyle name="20% - Accent4 6" xfId="1047" xr:uid="{00000000-0005-0000-0000-000072020000}"/>
    <cellStyle name="20% - Accent4 6 2" xfId="3278" xr:uid="{00000000-0005-0000-0000-000073020000}"/>
    <cellStyle name="20% - Accent4 6 2 2" xfId="7500" xr:uid="{00000000-0005-0000-0000-000074020000}"/>
    <cellStyle name="20% - Accent4 6 2 2 2" xfId="16826" xr:uid="{3E964383-D728-41D0-B0F7-E254D5672B08}"/>
    <cellStyle name="20% - Accent4 6 2 3" xfId="12609" xr:uid="{274D6D2F-2DFF-480A-BBEC-065FBBC54C7B}"/>
    <cellStyle name="20% - Accent4 6 3" xfId="5355" xr:uid="{00000000-0005-0000-0000-000075020000}"/>
    <cellStyle name="20% - Accent4 6 3 2" xfId="14681" xr:uid="{0AE9337B-02B7-4CCA-85B9-1737F2C0F133}"/>
    <cellStyle name="20% - Accent4 6 4" xfId="10464" xr:uid="{CBF483F0-4CB9-4315-BC8A-3778F8ACB471}"/>
    <cellStyle name="20% - Accent4 7" xfId="1461" xr:uid="{00000000-0005-0000-0000-000076020000}"/>
    <cellStyle name="20% - Accent4 7 2" xfId="3691" xr:uid="{00000000-0005-0000-0000-000077020000}"/>
    <cellStyle name="20% - Accent4 7 2 2" xfId="7913" xr:uid="{00000000-0005-0000-0000-000078020000}"/>
    <cellStyle name="20% - Accent4 7 2 2 2" xfId="17239" xr:uid="{435B905D-D2A8-4FFD-A50B-7782D12797AD}"/>
    <cellStyle name="20% - Accent4 7 2 3" xfId="13022" xr:uid="{7801249D-2B5A-472E-9001-1B7D528DFFE8}"/>
    <cellStyle name="20% - Accent4 7 3" xfId="5768" xr:uid="{00000000-0005-0000-0000-000079020000}"/>
    <cellStyle name="20% - Accent4 7 3 2" xfId="15094" xr:uid="{FBE892AF-A947-457D-81BE-6DE235C4BC6C}"/>
    <cellStyle name="20% - Accent4 7 4" xfId="10877" xr:uid="{D745FC91-67AB-4FF5-A82F-A4B153049795}"/>
    <cellStyle name="20% - Accent4 8" xfId="1875" xr:uid="{00000000-0005-0000-0000-00007A020000}"/>
    <cellStyle name="20% - Accent4 8 2" xfId="4104" xr:uid="{00000000-0005-0000-0000-00007B020000}"/>
    <cellStyle name="20% - Accent4 8 2 2" xfId="8326" xr:uid="{00000000-0005-0000-0000-00007C020000}"/>
    <cellStyle name="20% - Accent4 8 2 2 2" xfId="17652" xr:uid="{BC10834A-B95B-436B-9A52-CDD1B0B4A1BA}"/>
    <cellStyle name="20% - Accent4 8 2 3" xfId="13435" xr:uid="{2A5920AF-04CD-4A3E-A853-5B146B172724}"/>
    <cellStyle name="20% - Accent4 8 3" xfId="6181" xr:uid="{00000000-0005-0000-0000-00007D020000}"/>
    <cellStyle name="20% - Accent4 8 3 2" xfId="15507" xr:uid="{DBCF4E86-71EF-4DEF-8853-21064ADA0512}"/>
    <cellStyle name="20% - Accent4 8 4" xfId="11290" xr:uid="{2F492411-F5FF-45EC-9FEA-53CEC3BF481E}"/>
    <cellStyle name="20% - Accent4 9" xfId="2288" xr:uid="{00000000-0005-0000-0000-00007E020000}"/>
    <cellStyle name="20% - Accent4 9 2" xfId="6594" xr:uid="{00000000-0005-0000-0000-00007F020000}"/>
    <cellStyle name="20% - Accent4 9 2 2" xfId="15920" xr:uid="{93C2E6AF-ECE2-4089-A836-41153210BC51}"/>
    <cellStyle name="20% - Accent4 9 3" xfId="11703" xr:uid="{E474FF96-9F3F-42FB-88E3-2307C2AE96FC}"/>
    <cellStyle name="20% - Accent5" xfId="33" builtinId="46" customBuiltin="1"/>
    <cellStyle name="20% - Accent5 10" xfId="4536" xr:uid="{00000000-0005-0000-0000-000081020000}"/>
    <cellStyle name="20% - Accent5 10 2" xfId="13862" xr:uid="{8468E886-8ACA-4CF4-8446-82D2610C9377}"/>
    <cellStyle name="20% - Accent5 11" xfId="8766" xr:uid="{A87C980D-48BC-4AA3-98F7-53B2F02F228C}"/>
    <cellStyle name="20% - Accent5 11 2" xfId="18090" xr:uid="{EFC37833-95D5-43CA-8392-E89FB2AB35C3}"/>
    <cellStyle name="20% - Accent5 12" xfId="9645" xr:uid="{217B46AE-0500-4A93-91AB-DA59F11A462D}"/>
    <cellStyle name="20% - Accent5 2" xfId="34" xr:uid="{00000000-0005-0000-0000-000082020000}"/>
    <cellStyle name="20% - Accent5 2 10" xfId="8796" xr:uid="{5BBF4372-A7B1-47A0-AC3D-4A60EDC1A5F8}"/>
    <cellStyle name="20% - Accent5 2 10 2" xfId="18120" xr:uid="{0A0B769C-4C6C-4787-BA25-758177BECE7E}"/>
    <cellStyle name="20% - Accent5 2 11" xfId="9646" xr:uid="{1C8C0F19-D4AE-4CEE-9476-3BDF888E3966}"/>
    <cellStyle name="20% - Accent5 2 2" xfId="35" xr:uid="{00000000-0005-0000-0000-000083020000}"/>
    <cellStyle name="20% - Accent5 2 2 10" xfId="9647" xr:uid="{67BA03EE-036D-4F55-B892-152B21690983}"/>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2 2 2" xfId="16424" xr:uid="{46B7D56C-0E2C-401E-8D03-7752E1D8BA66}"/>
    <cellStyle name="20% - Accent5 2 2 2 2 2 3" xfId="12207" xr:uid="{3B4469E9-6D66-4305-9F10-7D003255E9B6}"/>
    <cellStyle name="20% - Accent5 2 2 2 2 3" xfId="4953" xr:uid="{00000000-0005-0000-0000-000088020000}"/>
    <cellStyle name="20% - Accent5 2 2 2 2 3 2" xfId="14279" xr:uid="{49A6177C-BD8F-430E-96B9-9EEA85B63337}"/>
    <cellStyle name="20% - Accent5 2 2 2 2 4" xfId="9531" xr:uid="{5DC5F027-F767-49FB-B9DE-2ACABCF8AC5A}"/>
    <cellStyle name="20% - Accent5 2 2 2 2 4 2" xfId="18846" xr:uid="{6A14677F-557D-40DB-9985-30254180CBFA}"/>
    <cellStyle name="20% - Accent5 2 2 2 2 5" xfId="10062" xr:uid="{C6358C00-EBA0-4EF3-91F8-C2630BC6A323}"/>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2 2 2" xfId="16837" xr:uid="{F23D8BB4-190F-4AAA-A0BF-516DA7338BA4}"/>
    <cellStyle name="20% - Accent5 2 2 2 3 2 3" xfId="12620" xr:uid="{61638103-113A-4407-8173-96E005B9F518}"/>
    <cellStyle name="20% - Accent5 2 2 2 3 3" xfId="5366" xr:uid="{00000000-0005-0000-0000-00008C020000}"/>
    <cellStyle name="20% - Accent5 2 2 2 3 3 2" xfId="14692" xr:uid="{01DBE337-2392-40A0-9E8F-532700A70075}"/>
    <cellStyle name="20% - Accent5 2 2 2 3 4" xfId="10475" xr:uid="{1352B489-0C07-4C5D-8E0B-23A0715EAEA3}"/>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2 2 2" xfId="17250" xr:uid="{888424C8-5D35-42DA-9379-1D6BBC40E8BF}"/>
    <cellStyle name="20% - Accent5 2 2 2 4 2 3" xfId="13033" xr:uid="{CCD663BD-4003-48AE-9509-8135762DF862}"/>
    <cellStyle name="20% - Accent5 2 2 2 4 3" xfId="5779" xr:uid="{00000000-0005-0000-0000-000090020000}"/>
    <cellStyle name="20% - Accent5 2 2 2 4 3 2" xfId="15105" xr:uid="{1AFC379D-23EB-48AA-84B4-750E80ADC1B7}"/>
    <cellStyle name="20% - Accent5 2 2 2 4 4" xfId="10888" xr:uid="{2BAFBDBF-677B-4AC3-BD45-CE25999DACCE}"/>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2 2 2" xfId="17663" xr:uid="{0B770DD2-A8E9-48D1-AE2F-11EEABA71EC0}"/>
    <cellStyle name="20% - Accent5 2 2 2 5 2 3" xfId="13446" xr:uid="{3BF7AD89-81C0-40EA-9DC3-DBDB13409BE7}"/>
    <cellStyle name="20% - Accent5 2 2 2 5 3" xfId="6192" xr:uid="{00000000-0005-0000-0000-000094020000}"/>
    <cellStyle name="20% - Accent5 2 2 2 5 3 2" xfId="15518" xr:uid="{4C7EDB5C-626D-41DF-99C7-E897D495F19C}"/>
    <cellStyle name="20% - Accent5 2 2 2 5 4" xfId="11301" xr:uid="{0C885D84-C864-4F02-8792-BB70FA3A350E}"/>
    <cellStyle name="20% - Accent5 2 2 2 6" xfId="2299" xr:uid="{00000000-0005-0000-0000-000095020000}"/>
    <cellStyle name="20% - Accent5 2 2 2 6 2" xfId="6605" xr:uid="{00000000-0005-0000-0000-000096020000}"/>
    <cellStyle name="20% - Accent5 2 2 2 6 2 2" xfId="15931" xr:uid="{98728876-2713-4DC6-8DD0-63F885E829BC}"/>
    <cellStyle name="20% - Accent5 2 2 2 6 3" xfId="11714" xr:uid="{22EA9721-3338-48B5-A07C-A007298E7226}"/>
    <cellStyle name="20% - Accent5 2 2 2 7" xfId="4539" xr:uid="{00000000-0005-0000-0000-000097020000}"/>
    <cellStyle name="20% - Accent5 2 2 2 7 2" xfId="13865" xr:uid="{00BC4A36-1271-4216-83AC-A494F19DA1EA}"/>
    <cellStyle name="20% - Accent5 2 2 2 8" xfId="9106" xr:uid="{E7B219CB-83A9-494A-83ED-783719A0F1D9}"/>
    <cellStyle name="20% - Accent5 2 2 2 8 2" xfId="18430" xr:uid="{4772A97B-BCDB-4901-BDA6-7D17A5FAD477}"/>
    <cellStyle name="20% - Accent5 2 2 2 9" xfId="9648" xr:uid="{CEFE756B-BD11-430F-819B-81D861C5B1DD}"/>
    <cellStyle name="20% - Accent5 2 2 3" xfId="604" xr:uid="{00000000-0005-0000-0000-000098020000}"/>
    <cellStyle name="20% - Accent5 2 2 3 2" xfId="2875" xr:uid="{00000000-0005-0000-0000-000099020000}"/>
    <cellStyle name="20% - Accent5 2 2 3 2 2" xfId="7097" xr:uid="{00000000-0005-0000-0000-00009A020000}"/>
    <cellStyle name="20% - Accent5 2 2 3 2 2 2" xfId="16423" xr:uid="{3C964D8A-1ADF-4188-BBE4-45073AF2E205}"/>
    <cellStyle name="20% - Accent5 2 2 3 2 3" xfId="12206" xr:uid="{43B34756-B98D-45A9-9179-79300CDC21DC}"/>
    <cellStyle name="20% - Accent5 2 2 3 3" xfId="4952" xr:uid="{00000000-0005-0000-0000-00009B020000}"/>
    <cellStyle name="20% - Accent5 2 2 3 3 2" xfId="14278" xr:uid="{2E3E9E6C-9CBA-4F3F-9776-56DA575E011B}"/>
    <cellStyle name="20% - Accent5 2 2 3 4" xfId="9324" xr:uid="{6094FEE1-8E2A-466F-9CDF-43EB9EE581FF}"/>
    <cellStyle name="20% - Accent5 2 2 3 4 2" xfId="18639" xr:uid="{6293A24A-3E91-4B6E-B611-688F0A3045D3}"/>
    <cellStyle name="20% - Accent5 2 2 3 5" xfId="10061" xr:uid="{6B21B6F4-D6BC-41CD-AEDC-1672C96B5161}"/>
    <cellStyle name="20% - Accent5 2 2 4" xfId="1057" xr:uid="{00000000-0005-0000-0000-00009C020000}"/>
    <cellStyle name="20% - Accent5 2 2 4 2" xfId="3288" xr:uid="{00000000-0005-0000-0000-00009D020000}"/>
    <cellStyle name="20% - Accent5 2 2 4 2 2" xfId="7510" xr:uid="{00000000-0005-0000-0000-00009E020000}"/>
    <cellStyle name="20% - Accent5 2 2 4 2 2 2" xfId="16836" xr:uid="{B6739803-C2AA-4AB7-A99A-C7C8E3CA8E46}"/>
    <cellStyle name="20% - Accent5 2 2 4 2 3" xfId="12619" xr:uid="{B006F21F-3E17-4D57-B3B9-F5128B1D66AC}"/>
    <cellStyle name="20% - Accent5 2 2 4 3" xfId="5365" xr:uid="{00000000-0005-0000-0000-00009F020000}"/>
    <cellStyle name="20% - Accent5 2 2 4 3 2" xfId="14691" xr:uid="{B091739D-04E9-48AD-BD26-DCB3636E28D5}"/>
    <cellStyle name="20% - Accent5 2 2 4 4" xfId="10474" xr:uid="{454F1251-6FF9-4650-8131-AFEE9953BD92}"/>
    <cellStyle name="20% - Accent5 2 2 5" xfId="1471" xr:uid="{00000000-0005-0000-0000-0000A0020000}"/>
    <cellStyle name="20% - Accent5 2 2 5 2" xfId="3701" xr:uid="{00000000-0005-0000-0000-0000A1020000}"/>
    <cellStyle name="20% - Accent5 2 2 5 2 2" xfId="7923" xr:uid="{00000000-0005-0000-0000-0000A2020000}"/>
    <cellStyle name="20% - Accent5 2 2 5 2 2 2" xfId="17249" xr:uid="{A942F4C6-2002-4F0A-91C1-F77B3DDC895A}"/>
    <cellStyle name="20% - Accent5 2 2 5 2 3" xfId="13032" xr:uid="{F168636C-FA8A-4DBF-A5F2-ABB1F4582016}"/>
    <cellStyle name="20% - Accent5 2 2 5 3" xfId="5778" xr:uid="{00000000-0005-0000-0000-0000A3020000}"/>
    <cellStyle name="20% - Accent5 2 2 5 3 2" xfId="15104" xr:uid="{EE180F8A-0CFC-4830-B73B-7062F180978D}"/>
    <cellStyle name="20% - Accent5 2 2 5 4" xfId="10887" xr:uid="{4C97E0CB-E6F6-4D0E-A5FC-1F2390207F09}"/>
    <cellStyle name="20% - Accent5 2 2 6" xfId="1885" xr:uid="{00000000-0005-0000-0000-0000A4020000}"/>
    <cellStyle name="20% - Accent5 2 2 6 2" xfId="4114" xr:uid="{00000000-0005-0000-0000-0000A5020000}"/>
    <cellStyle name="20% - Accent5 2 2 6 2 2" xfId="8336" xr:uid="{00000000-0005-0000-0000-0000A6020000}"/>
    <cellStyle name="20% - Accent5 2 2 6 2 2 2" xfId="17662" xr:uid="{E0341ADF-888B-473E-BA08-B042C3F20624}"/>
    <cellStyle name="20% - Accent5 2 2 6 2 3" xfId="13445" xr:uid="{10AEB02F-A89C-41A7-A215-8A1E1A8CF137}"/>
    <cellStyle name="20% - Accent5 2 2 6 3" xfId="6191" xr:uid="{00000000-0005-0000-0000-0000A7020000}"/>
    <cellStyle name="20% - Accent5 2 2 6 3 2" xfId="15517" xr:uid="{46C7F737-DF0A-404F-8239-B6A2D3B57AE4}"/>
    <cellStyle name="20% - Accent5 2 2 6 4" xfId="11300" xr:uid="{DAE865EA-88E6-4634-85F0-77A87A7125CE}"/>
    <cellStyle name="20% - Accent5 2 2 7" xfId="2298" xr:uid="{00000000-0005-0000-0000-0000A8020000}"/>
    <cellStyle name="20% - Accent5 2 2 7 2" xfId="6604" xr:uid="{00000000-0005-0000-0000-0000A9020000}"/>
    <cellStyle name="20% - Accent5 2 2 7 2 2" xfId="15930" xr:uid="{F8296126-E95C-4B08-B982-3FE698F6A08E}"/>
    <cellStyle name="20% - Accent5 2 2 7 3" xfId="11713" xr:uid="{48FD2D8B-96C6-42A0-AC63-8DB450BC6BA2}"/>
    <cellStyle name="20% - Accent5 2 2 8" xfId="4538" xr:uid="{00000000-0005-0000-0000-0000AA020000}"/>
    <cellStyle name="20% - Accent5 2 2 8 2" xfId="13864" xr:uid="{72AA1C9B-7BE5-44B9-8CE4-020B80EDB643}"/>
    <cellStyle name="20% - Accent5 2 2 9" xfId="8899" xr:uid="{0E8F9EC8-D565-41C9-B716-FF597FFF35B9}"/>
    <cellStyle name="20% - Accent5 2 2 9 2" xfId="18223" xr:uid="{010DF3C9-213F-4A3F-A5F3-B031D92545B6}"/>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2 2 2" xfId="16425" xr:uid="{BC44D9A9-CF9A-4296-B138-8BAC559B0C33}"/>
    <cellStyle name="20% - Accent5 2 3 2 2 3" xfId="12208" xr:uid="{B6A15E0D-4EE7-4113-8218-97AD78FC9BC0}"/>
    <cellStyle name="20% - Accent5 2 3 2 3" xfId="4954" xr:uid="{00000000-0005-0000-0000-0000AF020000}"/>
    <cellStyle name="20% - Accent5 2 3 2 3 2" xfId="14280" xr:uid="{5A22D515-B722-46F0-916F-C5D75E1CC21D}"/>
    <cellStyle name="20% - Accent5 2 3 2 4" xfId="9428" xr:uid="{B7820ACF-E1F3-4653-B5DD-FD829B169E84}"/>
    <cellStyle name="20% - Accent5 2 3 2 4 2" xfId="18743" xr:uid="{9AC27034-0A95-4725-AB44-55889EA009CD}"/>
    <cellStyle name="20% - Accent5 2 3 2 5" xfId="10063" xr:uid="{69292042-577F-459E-B103-D85DBE3B0A60}"/>
    <cellStyle name="20% - Accent5 2 3 3" xfId="1059" xr:uid="{00000000-0005-0000-0000-0000B0020000}"/>
    <cellStyle name="20% - Accent5 2 3 3 2" xfId="3290" xr:uid="{00000000-0005-0000-0000-0000B1020000}"/>
    <cellStyle name="20% - Accent5 2 3 3 2 2" xfId="7512" xr:uid="{00000000-0005-0000-0000-0000B2020000}"/>
    <cellStyle name="20% - Accent5 2 3 3 2 2 2" xfId="16838" xr:uid="{3E8C7C3A-CADF-4321-A5B3-469CBC338D1A}"/>
    <cellStyle name="20% - Accent5 2 3 3 2 3" xfId="12621" xr:uid="{D5EDED6B-6609-4E14-B736-3DD9FA40E768}"/>
    <cellStyle name="20% - Accent5 2 3 3 3" xfId="5367" xr:uid="{00000000-0005-0000-0000-0000B3020000}"/>
    <cellStyle name="20% - Accent5 2 3 3 3 2" xfId="14693" xr:uid="{6E9EE2CD-9D9C-4469-AB45-35188147D284}"/>
    <cellStyle name="20% - Accent5 2 3 3 4" xfId="10476" xr:uid="{7B5EFA62-2366-4DD7-96C7-B80A1B2429DA}"/>
    <cellStyle name="20% - Accent5 2 3 4" xfId="1473" xr:uid="{00000000-0005-0000-0000-0000B4020000}"/>
    <cellStyle name="20% - Accent5 2 3 4 2" xfId="3703" xr:uid="{00000000-0005-0000-0000-0000B5020000}"/>
    <cellStyle name="20% - Accent5 2 3 4 2 2" xfId="7925" xr:uid="{00000000-0005-0000-0000-0000B6020000}"/>
    <cellStyle name="20% - Accent5 2 3 4 2 2 2" xfId="17251" xr:uid="{55D88C8E-AEB3-4D38-A507-10CE4AE7104E}"/>
    <cellStyle name="20% - Accent5 2 3 4 2 3" xfId="13034" xr:uid="{3542AEE2-27DE-4469-9557-DF54AB362FD0}"/>
    <cellStyle name="20% - Accent5 2 3 4 3" xfId="5780" xr:uid="{00000000-0005-0000-0000-0000B7020000}"/>
    <cellStyle name="20% - Accent5 2 3 4 3 2" xfId="15106" xr:uid="{49C50CE4-2640-4117-8690-101D262EF3D6}"/>
    <cellStyle name="20% - Accent5 2 3 4 4" xfId="10889" xr:uid="{808D1ADC-3A9F-45CD-8DB0-62E78C79559D}"/>
    <cellStyle name="20% - Accent5 2 3 5" xfId="1887" xr:uid="{00000000-0005-0000-0000-0000B8020000}"/>
    <cellStyle name="20% - Accent5 2 3 5 2" xfId="4116" xr:uid="{00000000-0005-0000-0000-0000B9020000}"/>
    <cellStyle name="20% - Accent5 2 3 5 2 2" xfId="8338" xr:uid="{00000000-0005-0000-0000-0000BA020000}"/>
    <cellStyle name="20% - Accent5 2 3 5 2 2 2" xfId="17664" xr:uid="{31791AF4-6D56-482D-8A1D-39359F29A014}"/>
    <cellStyle name="20% - Accent5 2 3 5 2 3" xfId="13447" xr:uid="{71888AA3-9391-485E-807F-13097D79CDD0}"/>
    <cellStyle name="20% - Accent5 2 3 5 3" xfId="6193" xr:uid="{00000000-0005-0000-0000-0000BB020000}"/>
    <cellStyle name="20% - Accent5 2 3 5 3 2" xfId="15519" xr:uid="{20DCD214-4767-4E9F-8647-35DE17D785B5}"/>
    <cellStyle name="20% - Accent5 2 3 5 4" xfId="11302" xr:uid="{50FF96AF-9F50-412F-A0EB-5E92A74BA021}"/>
    <cellStyle name="20% - Accent5 2 3 6" xfId="2300" xr:uid="{00000000-0005-0000-0000-0000BC020000}"/>
    <cellStyle name="20% - Accent5 2 3 6 2" xfId="6606" xr:uid="{00000000-0005-0000-0000-0000BD020000}"/>
    <cellStyle name="20% - Accent5 2 3 6 2 2" xfId="15932" xr:uid="{C5783E74-020D-4B41-A46D-A16241F1DE81}"/>
    <cellStyle name="20% - Accent5 2 3 6 3" xfId="11715" xr:uid="{F6B491B4-1A41-4EA7-B139-D23B30365679}"/>
    <cellStyle name="20% - Accent5 2 3 7" xfId="4540" xr:uid="{00000000-0005-0000-0000-0000BE020000}"/>
    <cellStyle name="20% - Accent5 2 3 7 2" xfId="13866" xr:uid="{EE07A360-7D0A-4085-87E0-26BDD0126DD4}"/>
    <cellStyle name="20% - Accent5 2 3 8" xfId="9003" xr:uid="{9830E7D1-E361-4BA3-A986-3DCE647EEF8E}"/>
    <cellStyle name="20% - Accent5 2 3 8 2" xfId="18327" xr:uid="{A6567691-A195-49E8-ACBE-3CE0F743CFC8}"/>
    <cellStyle name="20% - Accent5 2 3 9" xfId="9649" xr:uid="{DC805D7E-A2F9-4EF1-93F3-2CC95AB0CCA0}"/>
    <cellStyle name="20% - Accent5 2 4" xfId="603" xr:uid="{00000000-0005-0000-0000-0000BF020000}"/>
    <cellStyle name="20% - Accent5 2 4 2" xfId="2874" xr:uid="{00000000-0005-0000-0000-0000C0020000}"/>
    <cellStyle name="20% - Accent5 2 4 2 2" xfId="7096" xr:uid="{00000000-0005-0000-0000-0000C1020000}"/>
    <cellStyle name="20% - Accent5 2 4 2 2 2" xfId="16422" xr:uid="{09BEC9A1-F66F-41D1-A631-8155C7D2D546}"/>
    <cellStyle name="20% - Accent5 2 4 2 3" xfId="12205" xr:uid="{F46E7A00-58F2-49EE-8ADD-6265B6EB39A6}"/>
    <cellStyle name="20% - Accent5 2 4 3" xfId="4951" xr:uid="{00000000-0005-0000-0000-0000C2020000}"/>
    <cellStyle name="20% - Accent5 2 4 3 2" xfId="14277" xr:uid="{68B5DF20-31ED-4FC3-AD59-D74E71B5EAC0}"/>
    <cellStyle name="20% - Accent5 2 4 4" xfId="9220" xr:uid="{A7B88928-FE72-4C1B-B74E-3CA76DBA84CC}"/>
    <cellStyle name="20% - Accent5 2 4 4 2" xfId="18536" xr:uid="{FD0465B9-30F0-4622-8EFE-E3363FB47182}"/>
    <cellStyle name="20% - Accent5 2 4 5" xfId="10060" xr:uid="{7048836E-59BA-4EF6-BA5C-0F0C4C0705EB}"/>
    <cellStyle name="20% - Accent5 2 5" xfId="1056" xr:uid="{00000000-0005-0000-0000-0000C3020000}"/>
    <cellStyle name="20% - Accent5 2 5 2" xfId="3287" xr:uid="{00000000-0005-0000-0000-0000C4020000}"/>
    <cellStyle name="20% - Accent5 2 5 2 2" xfId="7509" xr:uid="{00000000-0005-0000-0000-0000C5020000}"/>
    <cellStyle name="20% - Accent5 2 5 2 2 2" xfId="16835" xr:uid="{DABF10AA-4519-4B5C-A433-5225E71DDA02}"/>
    <cellStyle name="20% - Accent5 2 5 2 3" xfId="12618" xr:uid="{6EDE14A4-FBF9-4AE5-9E3C-5271823CD542}"/>
    <cellStyle name="20% - Accent5 2 5 3" xfId="5364" xr:uid="{00000000-0005-0000-0000-0000C6020000}"/>
    <cellStyle name="20% - Accent5 2 5 3 2" xfId="14690" xr:uid="{A928E9B2-D528-40A2-B8B6-8BB3C387B784}"/>
    <cellStyle name="20% - Accent5 2 5 4" xfId="10473" xr:uid="{CE9E9012-BB6D-4929-A3FD-420349FE6CCD}"/>
    <cellStyle name="20% - Accent5 2 6" xfId="1470" xr:uid="{00000000-0005-0000-0000-0000C7020000}"/>
    <cellStyle name="20% - Accent5 2 6 2" xfId="3700" xr:uid="{00000000-0005-0000-0000-0000C8020000}"/>
    <cellStyle name="20% - Accent5 2 6 2 2" xfId="7922" xr:uid="{00000000-0005-0000-0000-0000C9020000}"/>
    <cellStyle name="20% - Accent5 2 6 2 2 2" xfId="17248" xr:uid="{A2ED797F-B02F-4A26-BFB5-5AFB16E4D3CD}"/>
    <cellStyle name="20% - Accent5 2 6 2 3" xfId="13031" xr:uid="{0D5440B6-CB76-4D3C-B108-E1DA18FFF723}"/>
    <cellStyle name="20% - Accent5 2 6 3" xfId="5777" xr:uid="{00000000-0005-0000-0000-0000CA020000}"/>
    <cellStyle name="20% - Accent5 2 6 3 2" xfId="15103" xr:uid="{58BDB0A8-0DB7-4DE7-A656-4ECFA320A089}"/>
    <cellStyle name="20% - Accent5 2 6 4" xfId="10886" xr:uid="{99CF28EF-047B-4500-968D-B4370934324F}"/>
    <cellStyle name="20% - Accent5 2 7" xfId="1884" xr:uid="{00000000-0005-0000-0000-0000CB020000}"/>
    <cellStyle name="20% - Accent5 2 7 2" xfId="4113" xr:uid="{00000000-0005-0000-0000-0000CC020000}"/>
    <cellStyle name="20% - Accent5 2 7 2 2" xfId="8335" xr:uid="{00000000-0005-0000-0000-0000CD020000}"/>
    <cellStyle name="20% - Accent5 2 7 2 2 2" xfId="17661" xr:uid="{855180D6-B6D1-4D32-A379-D35F9E3CCC71}"/>
    <cellStyle name="20% - Accent5 2 7 2 3" xfId="13444" xr:uid="{97DE346B-82BA-44F8-A1C5-712DE89C3E65}"/>
    <cellStyle name="20% - Accent5 2 7 3" xfId="6190" xr:uid="{00000000-0005-0000-0000-0000CE020000}"/>
    <cellStyle name="20% - Accent5 2 7 3 2" xfId="15516" xr:uid="{BDFED71F-A2EE-4826-95E7-139FFD184DA1}"/>
    <cellStyle name="20% - Accent5 2 7 4" xfId="11299" xr:uid="{C3AD0B7F-FD72-401A-8B08-EA48622A891D}"/>
    <cellStyle name="20% - Accent5 2 8" xfId="2297" xr:uid="{00000000-0005-0000-0000-0000CF020000}"/>
    <cellStyle name="20% - Accent5 2 8 2" xfId="6603" xr:uid="{00000000-0005-0000-0000-0000D0020000}"/>
    <cellStyle name="20% - Accent5 2 8 2 2" xfId="15929" xr:uid="{C30DA9FA-9CA3-4842-AAB7-2B84AD4CD371}"/>
    <cellStyle name="20% - Accent5 2 8 3" xfId="11712" xr:uid="{C7C81311-B3A9-4FF0-A1E9-51E0E245A349}"/>
    <cellStyle name="20% - Accent5 2 9" xfId="4537" xr:uid="{00000000-0005-0000-0000-0000D1020000}"/>
    <cellStyle name="20% - Accent5 2 9 2" xfId="13863" xr:uid="{ED38EC80-DC6D-4356-94B4-810B2879DF54}"/>
    <cellStyle name="20% - Accent5 3" xfId="38" xr:uid="{00000000-0005-0000-0000-0000D2020000}"/>
    <cellStyle name="20% - Accent5 3 10" xfId="9650" xr:uid="{18FF7568-BA2E-488B-8094-739DDFB82E92}"/>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2 2 2" xfId="16427" xr:uid="{ACF70E39-8FD1-48F2-9291-81F19BF09D30}"/>
    <cellStyle name="20% - Accent5 3 2 2 2 3" xfId="12210" xr:uid="{F3CA9E33-83AF-4244-876D-AFC1758EB5A5}"/>
    <cellStyle name="20% - Accent5 3 2 2 3" xfId="4956" xr:uid="{00000000-0005-0000-0000-0000D7020000}"/>
    <cellStyle name="20% - Accent5 3 2 2 3 2" xfId="14282" xr:uid="{B8D0167B-C27B-4652-A109-0901DF37A7BE}"/>
    <cellStyle name="20% - Accent5 3 2 2 4" xfId="9501" xr:uid="{82A590A5-96D4-476E-8E6F-D81EEE08C409}"/>
    <cellStyle name="20% - Accent5 3 2 2 4 2" xfId="18816" xr:uid="{9CF827C0-9426-4EEF-8702-0FAA48179004}"/>
    <cellStyle name="20% - Accent5 3 2 2 5" xfId="10065" xr:uid="{6BCDFBC7-8BFC-4DD2-8816-E2715F78DB55}"/>
    <cellStyle name="20% - Accent5 3 2 3" xfId="1061" xr:uid="{00000000-0005-0000-0000-0000D8020000}"/>
    <cellStyle name="20% - Accent5 3 2 3 2" xfId="3292" xr:uid="{00000000-0005-0000-0000-0000D9020000}"/>
    <cellStyle name="20% - Accent5 3 2 3 2 2" xfId="7514" xr:uid="{00000000-0005-0000-0000-0000DA020000}"/>
    <cellStyle name="20% - Accent5 3 2 3 2 2 2" xfId="16840" xr:uid="{4D7B707F-70A2-4F91-903B-4E82DE4F2F0C}"/>
    <cellStyle name="20% - Accent5 3 2 3 2 3" xfId="12623" xr:uid="{18F338AE-F934-4576-AA0E-C05FC70EF3FE}"/>
    <cellStyle name="20% - Accent5 3 2 3 3" xfId="5369" xr:uid="{00000000-0005-0000-0000-0000DB020000}"/>
    <cellStyle name="20% - Accent5 3 2 3 3 2" xfId="14695" xr:uid="{D95023F5-B25E-4A29-98DB-1AE9020101B0}"/>
    <cellStyle name="20% - Accent5 3 2 3 4" xfId="10478" xr:uid="{703B6D91-A03F-44E7-9498-CE5BAE2B1BDA}"/>
    <cellStyle name="20% - Accent5 3 2 4" xfId="1475" xr:uid="{00000000-0005-0000-0000-0000DC020000}"/>
    <cellStyle name="20% - Accent5 3 2 4 2" xfId="3705" xr:uid="{00000000-0005-0000-0000-0000DD020000}"/>
    <cellStyle name="20% - Accent5 3 2 4 2 2" xfId="7927" xr:uid="{00000000-0005-0000-0000-0000DE020000}"/>
    <cellStyle name="20% - Accent5 3 2 4 2 2 2" xfId="17253" xr:uid="{BCDA430A-D190-4675-97E3-0E73F22DA5E1}"/>
    <cellStyle name="20% - Accent5 3 2 4 2 3" xfId="13036" xr:uid="{1FC92C7E-FEE7-48BA-B45E-2A48A16517DC}"/>
    <cellStyle name="20% - Accent5 3 2 4 3" xfId="5782" xr:uid="{00000000-0005-0000-0000-0000DF020000}"/>
    <cellStyle name="20% - Accent5 3 2 4 3 2" xfId="15108" xr:uid="{28F9CC4B-A692-43BC-B094-723150743588}"/>
    <cellStyle name="20% - Accent5 3 2 4 4" xfId="10891" xr:uid="{6F5B5FDE-46B0-4791-984F-40A69F80A828}"/>
    <cellStyle name="20% - Accent5 3 2 5" xfId="1889" xr:uid="{00000000-0005-0000-0000-0000E0020000}"/>
    <cellStyle name="20% - Accent5 3 2 5 2" xfId="4118" xr:uid="{00000000-0005-0000-0000-0000E1020000}"/>
    <cellStyle name="20% - Accent5 3 2 5 2 2" xfId="8340" xr:uid="{00000000-0005-0000-0000-0000E2020000}"/>
    <cellStyle name="20% - Accent5 3 2 5 2 2 2" xfId="17666" xr:uid="{2081134D-A9BC-4DC3-A0F5-D09F094421A0}"/>
    <cellStyle name="20% - Accent5 3 2 5 2 3" xfId="13449" xr:uid="{340F8DDC-D323-40A2-807F-5B0F6393A2FB}"/>
    <cellStyle name="20% - Accent5 3 2 5 3" xfId="6195" xr:uid="{00000000-0005-0000-0000-0000E3020000}"/>
    <cellStyle name="20% - Accent5 3 2 5 3 2" xfId="15521" xr:uid="{C15E948E-D14C-41E2-AE0E-C3EF2E8C22CE}"/>
    <cellStyle name="20% - Accent5 3 2 5 4" xfId="11304" xr:uid="{E5466337-863A-4BEA-BE49-C2695AD95750}"/>
    <cellStyle name="20% - Accent5 3 2 6" xfId="2302" xr:uid="{00000000-0005-0000-0000-0000E4020000}"/>
    <cellStyle name="20% - Accent5 3 2 6 2" xfId="6608" xr:uid="{00000000-0005-0000-0000-0000E5020000}"/>
    <cellStyle name="20% - Accent5 3 2 6 2 2" xfId="15934" xr:uid="{FD43D1B1-D733-4FB9-BEB7-876510DFDAEA}"/>
    <cellStyle name="20% - Accent5 3 2 6 3" xfId="11717" xr:uid="{90BC0CF9-D22B-4425-9A79-0E3DA97AD0A1}"/>
    <cellStyle name="20% - Accent5 3 2 7" xfId="4542" xr:uid="{00000000-0005-0000-0000-0000E6020000}"/>
    <cellStyle name="20% - Accent5 3 2 7 2" xfId="13868" xr:uid="{FCCC3A31-8DEA-4837-8AC9-9F69833B6850}"/>
    <cellStyle name="20% - Accent5 3 2 8" xfId="9076" xr:uid="{BEDF1D01-35A3-4513-9363-9C1AFC748168}"/>
    <cellStyle name="20% - Accent5 3 2 8 2" xfId="18400" xr:uid="{403CF738-112A-49E7-84F5-3A5E85ABB27C}"/>
    <cellStyle name="20% - Accent5 3 2 9" xfId="9651" xr:uid="{8A2BA864-E222-4530-97B9-1FEE13FD8C49}"/>
    <cellStyle name="20% - Accent5 3 3" xfId="607" xr:uid="{00000000-0005-0000-0000-0000E7020000}"/>
    <cellStyle name="20% - Accent5 3 3 2" xfId="2878" xr:uid="{00000000-0005-0000-0000-0000E8020000}"/>
    <cellStyle name="20% - Accent5 3 3 2 2" xfId="7100" xr:uid="{00000000-0005-0000-0000-0000E9020000}"/>
    <cellStyle name="20% - Accent5 3 3 2 2 2" xfId="16426" xr:uid="{D8F87946-7587-4D34-9E0C-D3E2577AFA66}"/>
    <cellStyle name="20% - Accent5 3 3 2 3" xfId="12209" xr:uid="{FD872F34-A962-4A63-8700-7FAC396302F1}"/>
    <cellStyle name="20% - Accent5 3 3 3" xfId="4955" xr:uid="{00000000-0005-0000-0000-0000EA020000}"/>
    <cellStyle name="20% - Accent5 3 3 3 2" xfId="14281" xr:uid="{CD98EDEC-5FCE-48A9-95F6-45456DE2151A}"/>
    <cellStyle name="20% - Accent5 3 3 4" xfId="9294" xr:uid="{124960EA-C7A4-4686-BF67-47D6C57F7EEB}"/>
    <cellStyle name="20% - Accent5 3 3 4 2" xfId="18609" xr:uid="{9B05E6A2-4197-4940-8835-E960D4DD6044}"/>
    <cellStyle name="20% - Accent5 3 3 5" xfId="10064" xr:uid="{52AA835E-70B1-40AB-AB6E-B13632827257}"/>
    <cellStyle name="20% - Accent5 3 4" xfId="1060" xr:uid="{00000000-0005-0000-0000-0000EB020000}"/>
    <cellStyle name="20% - Accent5 3 4 2" xfId="3291" xr:uid="{00000000-0005-0000-0000-0000EC020000}"/>
    <cellStyle name="20% - Accent5 3 4 2 2" xfId="7513" xr:uid="{00000000-0005-0000-0000-0000ED020000}"/>
    <cellStyle name="20% - Accent5 3 4 2 2 2" xfId="16839" xr:uid="{72812EC5-4546-4751-A7EF-A0580193D2EE}"/>
    <cellStyle name="20% - Accent5 3 4 2 3" xfId="12622" xr:uid="{6C4AA86E-D9BA-47C5-BB0E-82F7CB0120C0}"/>
    <cellStyle name="20% - Accent5 3 4 3" xfId="5368" xr:uid="{00000000-0005-0000-0000-0000EE020000}"/>
    <cellStyle name="20% - Accent5 3 4 3 2" xfId="14694" xr:uid="{ED4545DE-4232-47E8-AFDE-79F77A025DD0}"/>
    <cellStyle name="20% - Accent5 3 4 4" xfId="10477" xr:uid="{1974B906-A3C4-48CE-957B-F83D6F3F932C}"/>
    <cellStyle name="20% - Accent5 3 5" xfId="1474" xr:uid="{00000000-0005-0000-0000-0000EF020000}"/>
    <cellStyle name="20% - Accent5 3 5 2" xfId="3704" xr:uid="{00000000-0005-0000-0000-0000F0020000}"/>
    <cellStyle name="20% - Accent5 3 5 2 2" xfId="7926" xr:uid="{00000000-0005-0000-0000-0000F1020000}"/>
    <cellStyle name="20% - Accent5 3 5 2 2 2" xfId="17252" xr:uid="{BD848BF7-A0DF-41DA-A735-BCCA047AB0A8}"/>
    <cellStyle name="20% - Accent5 3 5 2 3" xfId="13035" xr:uid="{D430313D-462E-4F92-B711-144D47B8069C}"/>
    <cellStyle name="20% - Accent5 3 5 3" xfId="5781" xr:uid="{00000000-0005-0000-0000-0000F2020000}"/>
    <cellStyle name="20% - Accent5 3 5 3 2" xfId="15107" xr:uid="{B9B3D5D2-15DA-404A-B36D-A7A97439BC28}"/>
    <cellStyle name="20% - Accent5 3 5 4" xfId="10890" xr:uid="{BEC814C4-0CFE-49CF-B62B-4538C5778270}"/>
    <cellStyle name="20% - Accent5 3 6" xfId="1888" xr:uid="{00000000-0005-0000-0000-0000F3020000}"/>
    <cellStyle name="20% - Accent5 3 6 2" xfId="4117" xr:uid="{00000000-0005-0000-0000-0000F4020000}"/>
    <cellStyle name="20% - Accent5 3 6 2 2" xfId="8339" xr:uid="{00000000-0005-0000-0000-0000F5020000}"/>
    <cellStyle name="20% - Accent5 3 6 2 2 2" xfId="17665" xr:uid="{D7D16E0F-C9E7-4F79-829E-03D40DFE9895}"/>
    <cellStyle name="20% - Accent5 3 6 2 3" xfId="13448" xr:uid="{B000741F-6F5E-4F82-9348-34BD841D7FFE}"/>
    <cellStyle name="20% - Accent5 3 6 3" xfId="6194" xr:uid="{00000000-0005-0000-0000-0000F6020000}"/>
    <cellStyle name="20% - Accent5 3 6 3 2" xfId="15520" xr:uid="{524A7BE8-10EF-458E-A40D-29027193D3D6}"/>
    <cellStyle name="20% - Accent5 3 6 4" xfId="11303" xr:uid="{DDB94F59-2608-4B94-A889-00746AE06BC0}"/>
    <cellStyle name="20% - Accent5 3 7" xfId="2301" xr:uid="{00000000-0005-0000-0000-0000F7020000}"/>
    <cellStyle name="20% - Accent5 3 7 2" xfId="6607" xr:uid="{00000000-0005-0000-0000-0000F8020000}"/>
    <cellStyle name="20% - Accent5 3 7 2 2" xfId="15933" xr:uid="{19E0BE28-9084-44D3-BD7E-56FDEF7B2092}"/>
    <cellStyle name="20% - Accent5 3 7 3" xfId="11716" xr:uid="{20705330-4D43-4C5C-94C8-0E02D60DA942}"/>
    <cellStyle name="20% - Accent5 3 8" xfId="4541" xr:uid="{00000000-0005-0000-0000-0000F9020000}"/>
    <cellStyle name="20% - Accent5 3 8 2" xfId="13867" xr:uid="{2AC47B64-E54F-4307-BE6C-4F9AF99E3D83}"/>
    <cellStyle name="20% - Accent5 3 9" xfId="8869" xr:uid="{43CC8A87-AEEB-4E51-98E7-F8AE8D86AD2B}"/>
    <cellStyle name="20% - Accent5 3 9 2" xfId="18193" xr:uid="{6619690B-0EF6-4E21-9B37-96B8DFFE4328}"/>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2 2 2" xfId="16428" xr:uid="{237F1272-1BF0-4DF6-B2DB-AD202A600A2D}"/>
    <cellStyle name="20% - Accent5 4 2 2 3" xfId="12211" xr:uid="{31A7122B-8457-4E64-AB4B-4E15B110252A}"/>
    <cellStyle name="20% - Accent5 4 2 3" xfId="4957" xr:uid="{00000000-0005-0000-0000-0000FE020000}"/>
    <cellStyle name="20% - Accent5 4 2 3 2" xfId="14283" xr:uid="{8A56986D-E3AA-4ED0-AA9D-50E26A4ED832}"/>
    <cellStyle name="20% - Accent5 4 2 4" xfId="9380" xr:uid="{1C764D65-D71C-4646-AD86-15F83BDBF498}"/>
    <cellStyle name="20% - Accent5 4 2 4 2" xfId="18695" xr:uid="{5B70B72E-552E-48BB-BC87-1D97D6AC5A19}"/>
    <cellStyle name="20% - Accent5 4 2 5" xfId="10066" xr:uid="{33B242D6-0614-47A4-BBED-CDA82A821E6E}"/>
    <cellStyle name="20% - Accent5 4 3" xfId="1062" xr:uid="{00000000-0005-0000-0000-0000FF020000}"/>
    <cellStyle name="20% - Accent5 4 3 2" xfId="3293" xr:uid="{00000000-0005-0000-0000-000000030000}"/>
    <cellStyle name="20% - Accent5 4 3 2 2" xfId="7515" xr:uid="{00000000-0005-0000-0000-000001030000}"/>
    <cellStyle name="20% - Accent5 4 3 2 2 2" xfId="16841" xr:uid="{64C6B240-42D3-4F55-A8F4-3483294C26A9}"/>
    <cellStyle name="20% - Accent5 4 3 2 3" xfId="12624" xr:uid="{B321419A-9299-4FB1-86BF-5858143784F3}"/>
    <cellStyle name="20% - Accent5 4 3 3" xfId="5370" xr:uid="{00000000-0005-0000-0000-000002030000}"/>
    <cellStyle name="20% - Accent5 4 3 3 2" xfId="14696" xr:uid="{942D41DF-DD05-493F-8286-658FD2A1F49A}"/>
    <cellStyle name="20% - Accent5 4 3 4" xfId="10479" xr:uid="{8257D903-4804-488C-B391-DD1C5445CDD6}"/>
    <cellStyle name="20% - Accent5 4 4" xfId="1476" xr:uid="{00000000-0005-0000-0000-000003030000}"/>
    <cellStyle name="20% - Accent5 4 4 2" xfId="3706" xr:uid="{00000000-0005-0000-0000-000004030000}"/>
    <cellStyle name="20% - Accent5 4 4 2 2" xfId="7928" xr:uid="{00000000-0005-0000-0000-000005030000}"/>
    <cellStyle name="20% - Accent5 4 4 2 2 2" xfId="17254" xr:uid="{5323CD39-8BA5-4894-B0A9-9140C6A9850E}"/>
    <cellStyle name="20% - Accent5 4 4 2 3" xfId="13037" xr:uid="{9F3451FF-FFF6-4BAC-961E-DDB59B49683F}"/>
    <cellStyle name="20% - Accent5 4 4 3" xfId="5783" xr:uid="{00000000-0005-0000-0000-000006030000}"/>
    <cellStyle name="20% - Accent5 4 4 3 2" xfId="15109" xr:uid="{23A3D534-C360-4D0B-9082-2F27CC2EEDE9}"/>
    <cellStyle name="20% - Accent5 4 4 4" xfId="10892" xr:uid="{A1956202-6FE3-4C91-83DE-884D3E0F7357}"/>
    <cellStyle name="20% - Accent5 4 5" xfId="1890" xr:uid="{00000000-0005-0000-0000-000007030000}"/>
    <cellStyle name="20% - Accent5 4 5 2" xfId="4119" xr:uid="{00000000-0005-0000-0000-000008030000}"/>
    <cellStyle name="20% - Accent5 4 5 2 2" xfId="8341" xr:uid="{00000000-0005-0000-0000-000009030000}"/>
    <cellStyle name="20% - Accent5 4 5 2 2 2" xfId="17667" xr:uid="{AC08A6FE-24F9-4C3F-BBA0-DF9B18F47A07}"/>
    <cellStyle name="20% - Accent5 4 5 2 3" xfId="13450" xr:uid="{B6EA9425-9121-4F47-B3CD-3D5D39582C3B}"/>
    <cellStyle name="20% - Accent5 4 5 3" xfId="6196" xr:uid="{00000000-0005-0000-0000-00000A030000}"/>
    <cellStyle name="20% - Accent5 4 5 3 2" xfId="15522" xr:uid="{8DB425A5-B722-4E34-A4C4-727C18DB9D08}"/>
    <cellStyle name="20% - Accent5 4 5 4" xfId="11305" xr:uid="{163EB307-15A3-4731-993B-43C73900EA73}"/>
    <cellStyle name="20% - Accent5 4 6" xfId="2303" xr:uid="{00000000-0005-0000-0000-00000B030000}"/>
    <cellStyle name="20% - Accent5 4 6 2" xfId="6609" xr:uid="{00000000-0005-0000-0000-00000C030000}"/>
    <cellStyle name="20% - Accent5 4 6 2 2" xfId="15935" xr:uid="{B94EE39E-3154-4D03-8A21-F605AC869203}"/>
    <cellStyle name="20% - Accent5 4 6 3" xfId="11718" xr:uid="{C60FBD0B-2734-479C-A274-B2586977ECAF}"/>
    <cellStyle name="20% - Accent5 4 7" xfId="4543" xr:uid="{00000000-0005-0000-0000-00000D030000}"/>
    <cellStyle name="20% - Accent5 4 7 2" xfId="13869" xr:uid="{EC4CCA3D-C975-4D7E-8F4B-195E2E3C4F9A}"/>
    <cellStyle name="20% - Accent5 4 8" xfId="8955" xr:uid="{8AD43D76-8747-44EC-8D3B-2720ADF9D1B1}"/>
    <cellStyle name="20% - Accent5 4 8 2" xfId="18279" xr:uid="{3DFBC63B-AA56-43E4-9ABA-54C7547FA8B0}"/>
    <cellStyle name="20% - Accent5 4 9" xfId="9652" xr:uid="{821F1871-E8FA-49AA-9F42-0C6F367349CF}"/>
    <cellStyle name="20% - Accent5 5" xfId="602" xr:uid="{00000000-0005-0000-0000-00000E030000}"/>
    <cellStyle name="20% - Accent5 5 2" xfId="2873" xr:uid="{00000000-0005-0000-0000-00000F030000}"/>
    <cellStyle name="20% - Accent5 5 2 2" xfId="7095" xr:uid="{00000000-0005-0000-0000-000010030000}"/>
    <cellStyle name="20% - Accent5 5 2 2 2" xfId="16421" xr:uid="{8DE2E126-C11B-42C7-865A-247D5A469FC8}"/>
    <cellStyle name="20% - Accent5 5 2 3" xfId="12204" xr:uid="{B40EEE06-0190-4225-9919-9C633B0BECA4}"/>
    <cellStyle name="20% - Accent5 5 3" xfId="4950" xr:uid="{00000000-0005-0000-0000-000011030000}"/>
    <cellStyle name="20% - Accent5 5 3 2" xfId="14276" xr:uid="{24F008C0-DCB4-4E54-9A3B-BECBB1AFEE08}"/>
    <cellStyle name="20% - Accent5 5 4" xfId="9188" xr:uid="{164CF7CE-7706-426C-90AA-4867A06E28BD}"/>
    <cellStyle name="20% - Accent5 5 4 2" xfId="18506" xr:uid="{80C33D4E-A906-4422-96CD-673BA1A52F70}"/>
    <cellStyle name="20% - Accent5 5 5" xfId="10059" xr:uid="{5D407530-3033-4C7E-B08C-5733909D9EAB}"/>
    <cellStyle name="20% - Accent5 6" xfId="1055" xr:uid="{00000000-0005-0000-0000-000012030000}"/>
    <cellStyle name="20% - Accent5 6 2" xfId="3286" xr:uid="{00000000-0005-0000-0000-000013030000}"/>
    <cellStyle name="20% - Accent5 6 2 2" xfId="7508" xr:uid="{00000000-0005-0000-0000-000014030000}"/>
    <cellStyle name="20% - Accent5 6 2 2 2" xfId="16834" xr:uid="{A7C3B449-9E8F-4320-AD3F-2E9153D1CA6C}"/>
    <cellStyle name="20% - Accent5 6 2 3" xfId="12617" xr:uid="{603409DF-76B7-4C03-BC1F-D86AF8B68FB8}"/>
    <cellStyle name="20% - Accent5 6 3" xfId="5363" xr:uid="{00000000-0005-0000-0000-000015030000}"/>
    <cellStyle name="20% - Accent5 6 3 2" xfId="14689" xr:uid="{59A7F0CA-143B-4FAC-B83C-66BF4DD0AB28}"/>
    <cellStyle name="20% - Accent5 6 4" xfId="10472" xr:uid="{478770CD-D79D-4124-852A-41597F4A898B}"/>
    <cellStyle name="20% - Accent5 7" xfId="1469" xr:uid="{00000000-0005-0000-0000-000016030000}"/>
    <cellStyle name="20% - Accent5 7 2" xfId="3699" xr:uid="{00000000-0005-0000-0000-000017030000}"/>
    <cellStyle name="20% - Accent5 7 2 2" xfId="7921" xr:uid="{00000000-0005-0000-0000-000018030000}"/>
    <cellStyle name="20% - Accent5 7 2 2 2" xfId="17247" xr:uid="{6A1D464F-1A09-47A6-A14B-F173376D42B5}"/>
    <cellStyle name="20% - Accent5 7 2 3" xfId="13030" xr:uid="{019AD129-C360-40FE-A1DF-3ECCB4887A48}"/>
    <cellStyle name="20% - Accent5 7 3" xfId="5776" xr:uid="{00000000-0005-0000-0000-000019030000}"/>
    <cellStyle name="20% - Accent5 7 3 2" xfId="15102" xr:uid="{673E7AE0-BC41-4F57-9FA0-8CF19E7188C9}"/>
    <cellStyle name="20% - Accent5 7 4" xfId="10885" xr:uid="{48D98C3D-9BD7-4446-9633-20861FBABB57}"/>
    <cellStyle name="20% - Accent5 8" xfId="1883" xr:uid="{00000000-0005-0000-0000-00001A030000}"/>
    <cellStyle name="20% - Accent5 8 2" xfId="4112" xr:uid="{00000000-0005-0000-0000-00001B030000}"/>
    <cellStyle name="20% - Accent5 8 2 2" xfId="8334" xr:uid="{00000000-0005-0000-0000-00001C030000}"/>
    <cellStyle name="20% - Accent5 8 2 2 2" xfId="17660" xr:uid="{65196977-C8E1-4D90-8492-17183E1524E4}"/>
    <cellStyle name="20% - Accent5 8 2 3" xfId="13443" xr:uid="{B39D2A53-E6EB-4477-ADEA-246339747F30}"/>
    <cellStyle name="20% - Accent5 8 3" xfId="6189" xr:uid="{00000000-0005-0000-0000-00001D030000}"/>
    <cellStyle name="20% - Accent5 8 3 2" xfId="15515" xr:uid="{D1746969-532A-4C99-BDEA-3A6FF948AE35}"/>
    <cellStyle name="20% - Accent5 8 4" xfId="11298" xr:uid="{BB087FBE-3641-4113-85C5-A1AFE5161DB4}"/>
    <cellStyle name="20% - Accent5 9" xfId="2296" xr:uid="{00000000-0005-0000-0000-00001E030000}"/>
    <cellStyle name="20% - Accent5 9 2" xfId="6602" xr:uid="{00000000-0005-0000-0000-00001F030000}"/>
    <cellStyle name="20% - Accent5 9 2 2" xfId="15928" xr:uid="{B6827B02-4D60-4ED2-A5C9-98D662B55061}"/>
    <cellStyle name="20% - Accent5 9 3" xfId="11711" xr:uid="{364F3CAC-FC39-4067-87AB-3BB093402572}"/>
    <cellStyle name="20% - Accent6" xfId="41" builtinId="50" customBuiltin="1"/>
    <cellStyle name="20% - Accent6 10" xfId="4544" xr:uid="{00000000-0005-0000-0000-000021030000}"/>
    <cellStyle name="20% - Accent6 10 2" xfId="13870" xr:uid="{CF6DB17E-3528-4787-B881-5323BA4AACDC}"/>
    <cellStyle name="20% - Accent6 11" xfId="8768" xr:uid="{5A1F1293-A19F-445F-908A-D9DBB6265CA0}"/>
    <cellStyle name="20% - Accent6 11 2" xfId="18092" xr:uid="{825F4F3F-C561-4C44-B64A-2DF0DFD401ED}"/>
    <cellStyle name="20% - Accent6 12" xfId="9653" xr:uid="{4982E511-4528-4AAF-91C8-195E14B61050}"/>
    <cellStyle name="20% - Accent6 2" xfId="42" xr:uid="{00000000-0005-0000-0000-000022030000}"/>
    <cellStyle name="20% - Accent6 2 10" xfId="8795" xr:uid="{9A35B19E-8802-437A-ABDC-7B06A4E07F58}"/>
    <cellStyle name="20% - Accent6 2 10 2" xfId="18119" xr:uid="{CDE419EB-32D4-4349-9184-1D2339BA8A9C}"/>
    <cellStyle name="20% - Accent6 2 11" xfId="9654" xr:uid="{F48E8DFD-652C-46C9-97C8-988567332232}"/>
    <cellStyle name="20% - Accent6 2 2" xfId="43" xr:uid="{00000000-0005-0000-0000-000023030000}"/>
    <cellStyle name="20% - Accent6 2 2 10" xfId="9655" xr:uid="{72DA7D85-C99C-4AEE-8EE1-78F866920944}"/>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2 2 2" xfId="16432" xr:uid="{B5FAE835-3FD4-4758-8197-8AD02D58133F}"/>
    <cellStyle name="20% - Accent6 2 2 2 2 2 3" xfId="12215" xr:uid="{BD0F5459-957B-436A-95A4-D9AA4832CEB1}"/>
    <cellStyle name="20% - Accent6 2 2 2 2 3" xfId="4961" xr:uid="{00000000-0005-0000-0000-000028030000}"/>
    <cellStyle name="20% - Accent6 2 2 2 2 3 2" xfId="14287" xr:uid="{77A1125E-DA8F-4055-B2EE-EF755DB9BA15}"/>
    <cellStyle name="20% - Accent6 2 2 2 2 4" xfId="9530" xr:uid="{AFD3EE0E-70EF-4C1B-B994-7B8E7E8187BC}"/>
    <cellStyle name="20% - Accent6 2 2 2 2 4 2" xfId="18845" xr:uid="{C63BDC80-9587-40EB-A7DC-43A98B1D36D2}"/>
    <cellStyle name="20% - Accent6 2 2 2 2 5" xfId="10070" xr:uid="{15F0A087-5882-46CF-80E0-D0B58993D428}"/>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2 2 2" xfId="16845" xr:uid="{7E3DCC0E-0146-43E8-9070-1D6F3116340E}"/>
    <cellStyle name="20% - Accent6 2 2 2 3 2 3" xfId="12628" xr:uid="{5B00C498-E086-4E40-A28D-6876C5A6049F}"/>
    <cellStyle name="20% - Accent6 2 2 2 3 3" xfId="5374" xr:uid="{00000000-0005-0000-0000-00002C030000}"/>
    <cellStyle name="20% - Accent6 2 2 2 3 3 2" xfId="14700" xr:uid="{8B8F7571-D10A-4DC0-963B-1A5697EF3BBE}"/>
    <cellStyle name="20% - Accent6 2 2 2 3 4" xfId="10483" xr:uid="{8E60CD80-561E-4787-BF3D-C1EEFBF3161A}"/>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2 2 2" xfId="17258" xr:uid="{3DB3F8AE-3375-45D4-8CEC-35F4D21E9527}"/>
    <cellStyle name="20% - Accent6 2 2 2 4 2 3" xfId="13041" xr:uid="{6FA60C99-0104-431E-99E2-725BACEBD5AC}"/>
    <cellStyle name="20% - Accent6 2 2 2 4 3" xfId="5787" xr:uid="{00000000-0005-0000-0000-000030030000}"/>
    <cellStyle name="20% - Accent6 2 2 2 4 3 2" xfId="15113" xr:uid="{D211C367-68B8-498D-8624-454FD15DC72E}"/>
    <cellStyle name="20% - Accent6 2 2 2 4 4" xfId="10896" xr:uid="{8917775F-1270-47C9-A59A-498E959E1283}"/>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2 2 2" xfId="17671" xr:uid="{0B838375-2259-45D1-AEC1-AC017C720BFE}"/>
    <cellStyle name="20% - Accent6 2 2 2 5 2 3" xfId="13454" xr:uid="{33A433E9-37D7-47CB-8DB2-8082A13C8D2C}"/>
    <cellStyle name="20% - Accent6 2 2 2 5 3" xfId="6200" xr:uid="{00000000-0005-0000-0000-000034030000}"/>
    <cellStyle name="20% - Accent6 2 2 2 5 3 2" xfId="15526" xr:uid="{0120C22F-EC9F-45D8-8588-DCE96EFFA30C}"/>
    <cellStyle name="20% - Accent6 2 2 2 5 4" xfId="11309" xr:uid="{CA2054A5-D36A-44DD-AEAE-2CA97D60F413}"/>
    <cellStyle name="20% - Accent6 2 2 2 6" xfId="2307" xr:uid="{00000000-0005-0000-0000-000035030000}"/>
    <cellStyle name="20% - Accent6 2 2 2 6 2" xfId="6613" xr:uid="{00000000-0005-0000-0000-000036030000}"/>
    <cellStyle name="20% - Accent6 2 2 2 6 2 2" xfId="15939" xr:uid="{88997F77-C4D0-4DEC-A109-5A6FD52C620E}"/>
    <cellStyle name="20% - Accent6 2 2 2 6 3" xfId="11722" xr:uid="{C26702D8-68A9-40BB-99F9-03A725B4AD3E}"/>
    <cellStyle name="20% - Accent6 2 2 2 7" xfId="4547" xr:uid="{00000000-0005-0000-0000-000037030000}"/>
    <cellStyle name="20% - Accent6 2 2 2 7 2" xfId="13873" xr:uid="{B1B7F1F1-367F-4848-9A50-CB47BD4EF4EC}"/>
    <cellStyle name="20% - Accent6 2 2 2 8" xfId="9105" xr:uid="{2D3B6B01-F2FB-4D08-A7F9-9902961EFB46}"/>
    <cellStyle name="20% - Accent6 2 2 2 8 2" xfId="18429" xr:uid="{AEEB2C3A-DB21-4705-9C11-4EFD95F80907}"/>
    <cellStyle name="20% - Accent6 2 2 2 9" xfId="9656" xr:uid="{5433E9AC-0184-42FE-AAA8-8358DCE3B9D9}"/>
    <cellStyle name="20% - Accent6 2 2 3" xfId="612" xr:uid="{00000000-0005-0000-0000-000038030000}"/>
    <cellStyle name="20% - Accent6 2 2 3 2" xfId="2883" xr:uid="{00000000-0005-0000-0000-000039030000}"/>
    <cellStyle name="20% - Accent6 2 2 3 2 2" xfId="7105" xr:uid="{00000000-0005-0000-0000-00003A030000}"/>
    <cellStyle name="20% - Accent6 2 2 3 2 2 2" xfId="16431" xr:uid="{C79F8067-5998-4E33-A787-C8428E157F53}"/>
    <cellStyle name="20% - Accent6 2 2 3 2 3" xfId="12214" xr:uid="{F8E068E2-86C1-438E-A3C6-8AF6FAA4E930}"/>
    <cellStyle name="20% - Accent6 2 2 3 3" xfId="4960" xr:uid="{00000000-0005-0000-0000-00003B030000}"/>
    <cellStyle name="20% - Accent6 2 2 3 3 2" xfId="14286" xr:uid="{43FB4245-99B2-4D77-83A8-2F79FAD0206F}"/>
    <cellStyle name="20% - Accent6 2 2 3 4" xfId="9323" xr:uid="{93CC3C58-EC1C-4AC6-8D02-E00EFD80A494}"/>
    <cellStyle name="20% - Accent6 2 2 3 4 2" xfId="18638" xr:uid="{83E238AB-D79B-421B-B668-22ADC1132750}"/>
    <cellStyle name="20% - Accent6 2 2 3 5" xfId="10069" xr:uid="{DF9F4BDE-45E6-4E52-925A-58F965C3E050}"/>
    <cellStyle name="20% - Accent6 2 2 4" xfId="1065" xr:uid="{00000000-0005-0000-0000-00003C030000}"/>
    <cellStyle name="20% - Accent6 2 2 4 2" xfId="3296" xr:uid="{00000000-0005-0000-0000-00003D030000}"/>
    <cellStyle name="20% - Accent6 2 2 4 2 2" xfId="7518" xr:uid="{00000000-0005-0000-0000-00003E030000}"/>
    <cellStyle name="20% - Accent6 2 2 4 2 2 2" xfId="16844" xr:uid="{9F687B14-8258-411D-8396-6DCC3CFD95AD}"/>
    <cellStyle name="20% - Accent6 2 2 4 2 3" xfId="12627" xr:uid="{5936AB86-6D2D-461F-ACEF-4107F6E2C6C2}"/>
    <cellStyle name="20% - Accent6 2 2 4 3" xfId="5373" xr:uid="{00000000-0005-0000-0000-00003F030000}"/>
    <cellStyle name="20% - Accent6 2 2 4 3 2" xfId="14699" xr:uid="{C484D0CC-1343-4BC6-A332-01F711342AA7}"/>
    <cellStyle name="20% - Accent6 2 2 4 4" xfId="10482" xr:uid="{F072A0AD-C98F-49DF-BB49-F84D752BA1D0}"/>
    <cellStyle name="20% - Accent6 2 2 5" xfId="1479" xr:uid="{00000000-0005-0000-0000-000040030000}"/>
    <cellStyle name="20% - Accent6 2 2 5 2" xfId="3709" xr:uid="{00000000-0005-0000-0000-000041030000}"/>
    <cellStyle name="20% - Accent6 2 2 5 2 2" xfId="7931" xr:uid="{00000000-0005-0000-0000-000042030000}"/>
    <cellStyle name="20% - Accent6 2 2 5 2 2 2" xfId="17257" xr:uid="{4F3C67FE-5334-4FA4-ABA0-1DE16FD1D216}"/>
    <cellStyle name="20% - Accent6 2 2 5 2 3" xfId="13040" xr:uid="{409A3148-8B4C-48B2-9D32-F520D3B84ADF}"/>
    <cellStyle name="20% - Accent6 2 2 5 3" xfId="5786" xr:uid="{00000000-0005-0000-0000-000043030000}"/>
    <cellStyle name="20% - Accent6 2 2 5 3 2" xfId="15112" xr:uid="{1EEC82E3-A775-427E-A0B8-FC41EA866541}"/>
    <cellStyle name="20% - Accent6 2 2 5 4" xfId="10895" xr:uid="{854B7127-BEAB-46DE-AC76-BA62EBDBB77C}"/>
    <cellStyle name="20% - Accent6 2 2 6" xfId="1893" xr:uid="{00000000-0005-0000-0000-000044030000}"/>
    <cellStyle name="20% - Accent6 2 2 6 2" xfId="4122" xr:uid="{00000000-0005-0000-0000-000045030000}"/>
    <cellStyle name="20% - Accent6 2 2 6 2 2" xfId="8344" xr:uid="{00000000-0005-0000-0000-000046030000}"/>
    <cellStyle name="20% - Accent6 2 2 6 2 2 2" xfId="17670" xr:uid="{8AC03BBB-5C57-4530-9A25-439B94CCE53A}"/>
    <cellStyle name="20% - Accent6 2 2 6 2 3" xfId="13453" xr:uid="{4E5807F1-6B31-4840-955D-23416377FE4A}"/>
    <cellStyle name="20% - Accent6 2 2 6 3" xfId="6199" xr:uid="{00000000-0005-0000-0000-000047030000}"/>
    <cellStyle name="20% - Accent6 2 2 6 3 2" xfId="15525" xr:uid="{B7FC5717-CBAC-4FDB-AEA5-B20A246FE3BE}"/>
    <cellStyle name="20% - Accent6 2 2 6 4" xfId="11308" xr:uid="{34A05C9C-958E-4D26-A033-B2C70E531747}"/>
    <cellStyle name="20% - Accent6 2 2 7" xfId="2306" xr:uid="{00000000-0005-0000-0000-000048030000}"/>
    <cellStyle name="20% - Accent6 2 2 7 2" xfId="6612" xr:uid="{00000000-0005-0000-0000-000049030000}"/>
    <cellStyle name="20% - Accent6 2 2 7 2 2" xfId="15938" xr:uid="{E136DB48-AC6A-49CF-91DE-5EF804108AFC}"/>
    <cellStyle name="20% - Accent6 2 2 7 3" xfId="11721" xr:uid="{B4370DEC-AF69-4B7B-B5F1-A3095B4D6BC7}"/>
    <cellStyle name="20% - Accent6 2 2 8" xfId="4546" xr:uid="{00000000-0005-0000-0000-00004A030000}"/>
    <cellStyle name="20% - Accent6 2 2 8 2" xfId="13872" xr:uid="{80B5521F-6F4B-4F66-B50A-BC153FA9A076}"/>
    <cellStyle name="20% - Accent6 2 2 9" xfId="8898" xr:uid="{88686F75-037F-4072-9BDC-942546C51E8F}"/>
    <cellStyle name="20% - Accent6 2 2 9 2" xfId="18222" xr:uid="{2321F5FF-ED5F-497E-9A14-B225913A5045}"/>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2 2 2" xfId="16433" xr:uid="{44F20C5E-EF37-4471-8A52-566A1C921AD9}"/>
    <cellStyle name="20% - Accent6 2 3 2 2 3" xfId="12216" xr:uid="{6B993B66-3850-4CD4-8299-D76E683AF7B4}"/>
    <cellStyle name="20% - Accent6 2 3 2 3" xfId="4962" xr:uid="{00000000-0005-0000-0000-00004F030000}"/>
    <cellStyle name="20% - Accent6 2 3 2 3 2" xfId="14288" xr:uid="{3CF2CA69-45F3-47CA-B0FE-EC6A1F1A9F5E}"/>
    <cellStyle name="20% - Accent6 2 3 2 4" xfId="9427" xr:uid="{009378B6-C0A8-4C7C-A9A2-F91104842D93}"/>
    <cellStyle name="20% - Accent6 2 3 2 4 2" xfId="18742" xr:uid="{7535A39E-60AD-4CC5-AFDB-75245BD96E06}"/>
    <cellStyle name="20% - Accent6 2 3 2 5" xfId="10071" xr:uid="{D6D347AD-0984-47A2-BF31-030ADA63B4DF}"/>
    <cellStyle name="20% - Accent6 2 3 3" xfId="1067" xr:uid="{00000000-0005-0000-0000-000050030000}"/>
    <cellStyle name="20% - Accent6 2 3 3 2" xfId="3298" xr:uid="{00000000-0005-0000-0000-000051030000}"/>
    <cellStyle name="20% - Accent6 2 3 3 2 2" xfId="7520" xr:uid="{00000000-0005-0000-0000-000052030000}"/>
    <cellStyle name="20% - Accent6 2 3 3 2 2 2" xfId="16846" xr:uid="{42F1E553-B158-4519-9111-5745F2FE8100}"/>
    <cellStyle name="20% - Accent6 2 3 3 2 3" xfId="12629" xr:uid="{7421ADD1-F73A-4041-B1C1-52C74DCC1A62}"/>
    <cellStyle name="20% - Accent6 2 3 3 3" xfId="5375" xr:uid="{00000000-0005-0000-0000-000053030000}"/>
    <cellStyle name="20% - Accent6 2 3 3 3 2" xfId="14701" xr:uid="{523F9430-01C1-4310-8E3B-B9B21513EB4F}"/>
    <cellStyle name="20% - Accent6 2 3 3 4" xfId="10484" xr:uid="{016BA9F3-F225-459A-B6E6-CFDB1DD2D580}"/>
    <cellStyle name="20% - Accent6 2 3 4" xfId="1481" xr:uid="{00000000-0005-0000-0000-000054030000}"/>
    <cellStyle name="20% - Accent6 2 3 4 2" xfId="3711" xr:uid="{00000000-0005-0000-0000-000055030000}"/>
    <cellStyle name="20% - Accent6 2 3 4 2 2" xfId="7933" xr:uid="{00000000-0005-0000-0000-000056030000}"/>
    <cellStyle name="20% - Accent6 2 3 4 2 2 2" xfId="17259" xr:uid="{648DD821-5C3C-48DC-AB7C-488E64CDA124}"/>
    <cellStyle name="20% - Accent6 2 3 4 2 3" xfId="13042" xr:uid="{41E42C22-2648-4365-868E-5139E814FB98}"/>
    <cellStyle name="20% - Accent6 2 3 4 3" xfId="5788" xr:uid="{00000000-0005-0000-0000-000057030000}"/>
    <cellStyle name="20% - Accent6 2 3 4 3 2" xfId="15114" xr:uid="{C9D05105-960F-4324-9281-DAAB72CE54F4}"/>
    <cellStyle name="20% - Accent6 2 3 4 4" xfId="10897" xr:uid="{EDA19E5A-99B4-4FFA-B450-B76A9A09FA63}"/>
    <cellStyle name="20% - Accent6 2 3 5" xfId="1895" xr:uid="{00000000-0005-0000-0000-000058030000}"/>
    <cellStyle name="20% - Accent6 2 3 5 2" xfId="4124" xr:uid="{00000000-0005-0000-0000-000059030000}"/>
    <cellStyle name="20% - Accent6 2 3 5 2 2" xfId="8346" xr:uid="{00000000-0005-0000-0000-00005A030000}"/>
    <cellStyle name="20% - Accent6 2 3 5 2 2 2" xfId="17672" xr:uid="{D83756AB-33FD-489D-BD76-F19FB2B00A58}"/>
    <cellStyle name="20% - Accent6 2 3 5 2 3" xfId="13455" xr:uid="{1704584E-3EA7-456A-AAA9-FC88980D9725}"/>
    <cellStyle name="20% - Accent6 2 3 5 3" xfId="6201" xr:uid="{00000000-0005-0000-0000-00005B030000}"/>
    <cellStyle name="20% - Accent6 2 3 5 3 2" xfId="15527" xr:uid="{2D569FCB-09B5-4333-ADF4-A719A6D76438}"/>
    <cellStyle name="20% - Accent6 2 3 5 4" xfId="11310" xr:uid="{A89BC316-E3AB-4EE1-A10F-C1BC2E2281E2}"/>
    <cellStyle name="20% - Accent6 2 3 6" xfId="2308" xr:uid="{00000000-0005-0000-0000-00005C030000}"/>
    <cellStyle name="20% - Accent6 2 3 6 2" xfId="6614" xr:uid="{00000000-0005-0000-0000-00005D030000}"/>
    <cellStyle name="20% - Accent6 2 3 6 2 2" xfId="15940" xr:uid="{40D32D97-1DC2-4B8F-B7FD-7A635EEC6667}"/>
    <cellStyle name="20% - Accent6 2 3 6 3" xfId="11723" xr:uid="{163ED65F-B776-4C0E-B062-398325B73B67}"/>
    <cellStyle name="20% - Accent6 2 3 7" xfId="4548" xr:uid="{00000000-0005-0000-0000-00005E030000}"/>
    <cellStyle name="20% - Accent6 2 3 7 2" xfId="13874" xr:uid="{3B1C3254-5BF5-475A-82B9-7E97B0108664}"/>
    <cellStyle name="20% - Accent6 2 3 8" xfId="9002" xr:uid="{F69877AB-868C-474F-8F88-C5F2F1F2C041}"/>
    <cellStyle name="20% - Accent6 2 3 8 2" xfId="18326" xr:uid="{6147532D-A560-4C88-81C0-37C40B1AB3A8}"/>
    <cellStyle name="20% - Accent6 2 3 9" xfId="9657" xr:uid="{6C629A3A-961A-44A1-9F95-F6C038C13D6F}"/>
    <cellStyle name="20% - Accent6 2 4" xfId="611" xr:uid="{00000000-0005-0000-0000-00005F030000}"/>
    <cellStyle name="20% - Accent6 2 4 2" xfId="2882" xr:uid="{00000000-0005-0000-0000-000060030000}"/>
    <cellStyle name="20% - Accent6 2 4 2 2" xfId="7104" xr:uid="{00000000-0005-0000-0000-000061030000}"/>
    <cellStyle name="20% - Accent6 2 4 2 2 2" xfId="16430" xr:uid="{24D037A3-8F9E-4BD8-81F0-37344804263C}"/>
    <cellStyle name="20% - Accent6 2 4 2 3" xfId="12213" xr:uid="{6A64BF17-AE82-4294-A6A4-DAE0EB36595B}"/>
    <cellStyle name="20% - Accent6 2 4 3" xfId="4959" xr:uid="{00000000-0005-0000-0000-000062030000}"/>
    <cellStyle name="20% - Accent6 2 4 3 2" xfId="14285" xr:uid="{3B553976-3935-45B7-82DA-5B3D1BBD5CD9}"/>
    <cellStyle name="20% - Accent6 2 4 4" xfId="9219" xr:uid="{C8AD75F8-261B-45C4-93F0-0E0A49EEEF79}"/>
    <cellStyle name="20% - Accent6 2 4 4 2" xfId="18535" xr:uid="{59BD8B31-D279-4591-B7AB-8C2FFD28DDC7}"/>
    <cellStyle name="20% - Accent6 2 4 5" xfId="10068" xr:uid="{97EC7B43-68DC-4519-A9C2-457A48629968}"/>
    <cellStyle name="20% - Accent6 2 5" xfId="1064" xr:uid="{00000000-0005-0000-0000-000063030000}"/>
    <cellStyle name="20% - Accent6 2 5 2" xfId="3295" xr:uid="{00000000-0005-0000-0000-000064030000}"/>
    <cellStyle name="20% - Accent6 2 5 2 2" xfId="7517" xr:uid="{00000000-0005-0000-0000-000065030000}"/>
    <cellStyle name="20% - Accent6 2 5 2 2 2" xfId="16843" xr:uid="{18C71F52-A756-468B-BEB9-47911CD16881}"/>
    <cellStyle name="20% - Accent6 2 5 2 3" xfId="12626" xr:uid="{C8555639-DBC5-4F77-82AF-F24706C2B9C0}"/>
    <cellStyle name="20% - Accent6 2 5 3" xfId="5372" xr:uid="{00000000-0005-0000-0000-000066030000}"/>
    <cellStyle name="20% - Accent6 2 5 3 2" xfId="14698" xr:uid="{D419B368-0B0D-44C3-942E-761C2A75FA71}"/>
    <cellStyle name="20% - Accent6 2 5 4" xfId="10481" xr:uid="{25686F60-3F91-48A4-B329-0A1026C2B0F9}"/>
    <cellStyle name="20% - Accent6 2 6" xfId="1478" xr:uid="{00000000-0005-0000-0000-000067030000}"/>
    <cellStyle name="20% - Accent6 2 6 2" xfId="3708" xr:uid="{00000000-0005-0000-0000-000068030000}"/>
    <cellStyle name="20% - Accent6 2 6 2 2" xfId="7930" xr:uid="{00000000-0005-0000-0000-000069030000}"/>
    <cellStyle name="20% - Accent6 2 6 2 2 2" xfId="17256" xr:uid="{1BA2CD7E-6319-4D48-93D5-D17BDBAB4C7F}"/>
    <cellStyle name="20% - Accent6 2 6 2 3" xfId="13039" xr:uid="{FDC22C0D-8295-4C68-98F3-6DDE1BFDBA4E}"/>
    <cellStyle name="20% - Accent6 2 6 3" xfId="5785" xr:uid="{00000000-0005-0000-0000-00006A030000}"/>
    <cellStyle name="20% - Accent6 2 6 3 2" xfId="15111" xr:uid="{E6381DCF-30FF-4DE3-9ACC-C25E66F9FB89}"/>
    <cellStyle name="20% - Accent6 2 6 4" xfId="10894" xr:uid="{ACD5F523-94D9-48B2-91A3-8BE9E3CEB9C7}"/>
    <cellStyle name="20% - Accent6 2 7" xfId="1892" xr:uid="{00000000-0005-0000-0000-00006B030000}"/>
    <cellStyle name="20% - Accent6 2 7 2" xfId="4121" xr:uid="{00000000-0005-0000-0000-00006C030000}"/>
    <cellStyle name="20% - Accent6 2 7 2 2" xfId="8343" xr:uid="{00000000-0005-0000-0000-00006D030000}"/>
    <cellStyle name="20% - Accent6 2 7 2 2 2" xfId="17669" xr:uid="{E032CB2B-A050-468C-A789-417BDC40F93B}"/>
    <cellStyle name="20% - Accent6 2 7 2 3" xfId="13452" xr:uid="{471B91EE-5D0C-4FCA-92F1-AFA0FDA7B039}"/>
    <cellStyle name="20% - Accent6 2 7 3" xfId="6198" xr:uid="{00000000-0005-0000-0000-00006E030000}"/>
    <cellStyle name="20% - Accent6 2 7 3 2" xfId="15524" xr:uid="{E8C08CC6-EEC4-4B01-8229-842D5FDE07CC}"/>
    <cellStyle name="20% - Accent6 2 7 4" xfId="11307" xr:uid="{49C3C8AC-D294-4CF0-8F67-99D99B285D40}"/>
    <cellStyle name="20% - Accent6 2 8" xfId="2305" xr:uid="{00000000-0005-0000-0000-00006F030000}"/>
    <cellStyle name="20% - Accent6 2 8 2" xfId="6611" xr:uid="{00000000-0005-0000-0000-000070030000}"/>
    <cellStyle name="20% - Accent6 2 8 2 2" xfId="15937" xr:uid="{16BB3191-0B70-4255-AD78-5BE0065A07D5}"/>
    <cellStyle name="20% - Accent6 2 8 3" xfId="11720" xr:uid="{321CE419-CB23-473A-BAB0-9C7B8787B8B1}"/>
    <cellStyle name="20% - Accent6 2 9" xfId="4545" xr:uid="{00000000-0005-0000-0000-000071030000}"/>
    <cellStyle name="20% - Accent6 2 9 2" xfId="13871" xr:uid="{DD5EB689-62A0-466F-94C0-A53F4A9D1C20}"/>
    <cellStyle name="20% - Accent6 3" xfId="46" xr:uid="{00000000-0005-0000-0000-000072030000}"/>
    <cellStyle name="20% - Accent6 3 10" xfId="9658" xr:uid="{D4C8F2F6-D29A-499A-A25E-4CEC8B72AC77}"/>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2 2 2" xfId="16435" xr:uid="{D09E1D88-F361-4368-A073-8BD5DCBEE792}"/>
    <cellStyle name="20% - Accent6 3 2 2 2 3" xfId="12218" xr:uid="{95BBBF5B-2948-4EAF-BE32-34A445B606F6}"/>
    <cellStyle name="20% - Accent6 3 2 2 3" xfId="4964" xr:uid="{00000000-0005-0000-0000-000077030000}"/>
    <cellStyle name="20% - Accent6 3 2 2 3 2" xfId="14290" xr:uid="{1CE09F25-1FA3-44D4-B7D7-FE2BB7DD948C}"/>
    <cellStyle name="20% - Accent6 3 2 2 4" xfId="9503" xr:uid="{A5A3EDF8-16EA-4A86-8795-C3BA46FE244A}"/>
    <cellStyle name="20% - Accent6 3 2 2 4 2" xfId="18818" xr:uid="{D6DE6DC0-E538-42E5-9370-B5DE5DED01ED}"/>
    <cellStyle name="20% - Accent6 3 2 2 5" xfId="10073" xr:uid="{09F861A5-7922-40BC-A2A7-A43028242E22}"/>
    <cellStyle name="20% - Accent6 3 2 3" xfId="1069" xr:uid="{00000000-0005-0000-0000-000078030000}"/>
    <cellStyle name="20% - Accent6 3 2 3 2" xfId="3300" xr:uid="{00000000-0005-0000-0000-000079030000}"/>
    <cellStyle name="20% - Accent6 3 2 3 2 2" xfId="7522" xr:uid="{00000000-0005-0000-0000-00007A030000}"/>
    <cellStyle name="20% - Accent6 3 2 3 2 2 2" xfId="16848" xr:uid="{50933E5F-2E55-4EE0-B1BD-93333FD6E0D0}"/>
    <cellStyle name="20% - Accent6 3 2 3 2 3" xfId="12631" xr:uid="{0542D892-CDE6-48DF-A4E7-9DFB0E72353C}"/>
    <cellStyle name="20% - Accent6 3 2 3 3" xfId="5377" xr:uid="{00000000-0005-0000-0000-00007B030000}"/>
    <cellStyle name="20% - Accent6 3 2 3 3 2" xfId="14703" xr:uid="{FB34F57A-873C-4678-9C83-57C0427D16DF}"/>
    <cellStyle name="20% - Accent6 3 2 3 4" xfId="10486" xr:uid="{285C88E8-B38D-410B-A5F6-138624BB3D6C}"/>
    <cellStyle name="20% - Accent6 3 2 4" xfId="1483" xr:uid="{00000000-0005-0000-0000-00007C030000}"/>
    <cellStyle name="20% - Accent6 3 2 4 2" xfId="3713" xr:uid="{00000000-0005-0000-0000-00007D030000}"/>
    <cellStyle name="20% - Accent6 3 2 4 2 2" xfId="7935" xr:uid="{00000000-0005-0000-0000-00007E030000}"/>
    <cellStyle name="20% - Accent6 3 2 4 2 2 2" xfId="17261" xr:uid="{C9D8BD40-BB06-402C-A059-6D8B78A9816B}"/>
    <cellStyle name="20% - Accent6 3 2 4 2 3" xfId="13044" xr:uid="{38BB3157-7046-4F54-B3A8-4E861CB3033D}"/>
    <cellStyle name="20% - Accent6 3 2 4 3" xfId="5790" xr:uid="{00000000-0005-0000-0000-00007F030000}"/>
    <cellStyle name="20% - Accent6 3 2 4 3 2" xfId="15116" xr:uid="{2F6DE9E1-A727-4CA8-BBB4-74C1B9D5BF54}"/>
    <cellStyle name="20% - Accent6 3 2 4 4" xfId="10899" xr:uid="{E42E75E1-5A34-4635-8A31-34C60A30F6B6}"/>
    <cellStyle name="20% - Accent6 3 2 5" xfId="1897" xr:uid="{00000000-0005-0000-0000-000080030000}"/>
    <cellStyle name="20% - Accent6 3 2 5 2" xfId="4126" xr:uid="{00000000-0005-0000-0000-000081030000}"/>
    <cellStyle name="20% - Accent6 3 2 5 2 2" xfId="8348" xr:uid="{00000000-0005-0000-0000-000082030000}"/>
    <cellStyle name="20% - Accent6 3 2 5 2 2 2" xfId="17674" xr:uid="{CA8FC2D4-1890-42EB-A98F-8A41F63881B0}"/>
    <cellStyle name="20% - Accent6 3 2 5 2 3" xfId="13457" xr:uid="{6063D437-B32B-4F61-A329-3B41AF28AB67}"/>
    <cellStyle name="20% - Accent6 3 2 5 3" xfId="6203" xr:uid="{00000000-0005-0000-0000-000083030000}"/>
    <cellStyle name="20% - Accent6 3 2 5 3 2" xfId="15529" xr:uid="{5C4A8220-9F7A-4106-A328-CC7AAD1DCFC7}"/>
    <cellStyle name="20% - Accent6 3 2 5 4" xfId="11312" xr:uid="{FEE73015-8FD3-4E87-AC19-E70FFB2AE9CE}"/>
    <cellStyle name="20% - Accent6 3 2 6" xfId="2310" xr:uid="{00000000-0005-0000-0000-000084030000}"/>
    <cellStyle name="20% - Accent6 3 2 6 2" xfId="6616" xr:uid="{00000000-0005-0000-0000-000085030000}"/>
    <cellStyle name="20% - Accent6 3 2 6 2 2" xfId="15942" xr:uid="{070D99FD-9227-42AD-A291-AEE772DBE336}"/>
    <cellStyle name="20% - Accent6 3 2 6 3" xfId="11725" xr:uid="{2B288515-B28B-4BB4-8C7F-4F48192E2FFB}"/>
    <cellStyle name="20% - Accent6 3 2 7" xfId="4550" xr:uid="{00000000-0005-0000-0000-000086030000}"/>
    <cellStyle name="20% - Accent6 3 2 7 2" xfId="13876" xr:uid="{38977303-7B2C-4B4F-8E7F-C15A0A629B0B}"/>
    <cellStyle name="20% - Accent6 3 2 8" xfId="9078" xr:uid="{55C63253-C10A-44F0-A9A1-D3E9AD1B1E77}"/>
    <cellStyle name="20% - Accent6 3 2 8 2" xfId="18402" xr:uid="{DBC54254-C204-45FE-916B-7005C25FEEA5}"/>
    <cellStyle name="20% - Accent6 3 2 9" xfId="9659" xr:uid="{3CC1BEC5-8A1E-42D6-83F6-19500A540834}"/>
    <cellStyle name="20% - Accent6 3 3" xfId="615" xr:uid="{00000000-0005-0000-0000-000087030000}"/>
    <cellStyle name="20% - Accent6 3 3 2" xfId="2886" xr:uid="{00000000-0005-0000-0000-000088030000}"/>
    <cellStyle name="20% - Accent6 3 3 2 2" xfId="7108" xr:uid="{00000000-0005-0000-0000-000089030000}"/>
    <cellStyle name="20% - Accent6 3 3 2 2 2" xfId="16434" xr:uid="{18A8B726-4237-4276-AFD0-594EA02067DF}"/>
    <cellStyle name="20% - Accent6 3 3 2 3" xfId="12217" xr:uid="{4B5E4433-2FC5-4D21-9809-2A311BD9A7E9}"/>
    <cellStyle name="20% - Accent6 3 3 3" xfId="4963" xr:uid="{00000000-0005-0000-0000-00008A030000}"/>
    <cellStyle name="20% - Accent6 3 3 3 2" xfId="14289" xr:uid="{9F676291-F238-4768-A6AA-91C02B8AE6D2}"/>
    <cellStyle name="20% - Accent6 3 3 4" xfId="9296" xr:uid="{68DBDAD1-945F-459A-93CE-56D312D1EDE4}"/>
    <cellStyle name="20% - Accent6 3 3 4 2" xfId="18611" xr:uid="{FA78E881-4773-471A-932C-555B67CDCA11}"/>
    <cellStyle name="20% - Accent6 3 3 5" xfId="10072" xr:uid="{E0E21BF0-93FD-40FB-93B1-4F7BB592861E}"/>
    <cellStyle name="20% - Accent6 3 4" xfId="1068" xr:uid="{00000000-0005-0000-0000-00008B030000}"/>
    <cellStyle name="20% - Accent6 3 4 2" xfId="3299" xr:uid="{00000000-0005-0000-0000-00008C030000}"/>
    <cellStyle name="20% - Accent6 3 4 2 2" xfId="7521" xr:uid="{00000000-0005-0000-0000-00008D030000}"/>
    <cellStyle name="20% - Accent6 3 4 2 2 2" xfId="16847" xr:uid="{FC6F4D13-ABD7-4CDD-8F60-0BE9B401BCB1}"/>
    <cellStyle name="20% - Accent6 3 4 2 3" xfId="12630" xr:uid="{5A7D213F-614F-49FE-99E8-311DCCE4FFAB}"/>
    <cellStyle name="20% - Accent6 3 4 3" xfId="5376" xr:uid="{00000000-0005-0000-0000-00008E030000}"/>
    <cellStyle name="20% - Accent6 3 4 3 2" xfId="14702" xr:uid="{95C49702-7865-4BA1-AEB8-5C772B612135}"/>
    <cellStyle name="20% - Accent6 3 4 4" xfId="10485" xr:uid="{669466B1-DF14-4BF4-8327-2AAAB622EEEF}"/>
    <cellStyle name="20% - Accent6 3 5" xfId="1482" xr:uid="{00000000-0005-0000-0000-00008F030000}"/>
    <cellStyle name="20% - Accent6 3 5 2" xfId="3712" xr:uid="{00000000-0005-0000-0000-000090030000}"/>
    <cellStyle name="20% - Accent6 3 5 2 2" xfId="7934" xr:uid="{00000000-0005-0000-0000-000091030000}"/>
    <cellStyle name="20% - Accent6 3 5 2 2 2" xfId="17260" xr:uid="{A73EA645-5D48-453D-866A-5EEF9A6FABD4}"/>
    <cellStyle name="20% - Accent6 3 5 2 3" xfId="13043" xr:uid="{6230694D-C164-4D5A-8C18-6BCFD32F43D7}"/>
    <cellStyle name="20% - Accent6 3 5 3" xfId="5789" xr:uid="{00000000-0005-0000-0000-000092030000}"/>
    <cellStyle name="20% - Accent6 3 5 3 2" xfId="15115" xr:uid="{24851092-28C7-4B21-89F1-4D72998EF1D0}"/>
    <cellStyle name="20% - Accent6 3 5 4" xfId="10898" xr:uid="{6A79E947-BE13-4251-9224-8E0CF35CD577}"/>
    <cellStyle name="20% - Accent6 3 6" xfId="1896" xr:uid="{00000000-0005-0000-0000-000093030000}"/>
    <cellStyle name="20% - Accent6 3 6 2" xfId="4125" xr:uid="{00000000-0005-0000-0000-000094030000}"/>
    <cellStyle name="20% - Accent6 3 6 2 2" xfId="8347" xr:uid="{00000000-0005-0000-0000-000095030000}"/>
    <cellStyle name="20% - Accent6 3 6 2 2 2" xfId="17673" xr:uid="{A804FA8A-71B4-41C5-BA02-FD2B413745CA}"/>
    <cellStyle name="20% - Accent6 3 6 2 3" xfId="13456" xr:uid="{2320A46C-E727-4842-A8CC-300A627BDEA1}"/>
    <cellStyle name="20% - Accent6 3 6 3" xfId="6202" xr:uid="{00000000-0005-0000-0000-000096030000}"/>
    <cellStyle name="20% - Accent6 3 6 3 2" xfId="15528" xr:uid="{E1851B94-66F6-4EDB-B2E4-EB57050C76BB}"/>
    <cellStyle name="20% - Accent6 3 6 4" xfId="11311" xr:uid="{4DD6A300-2A38-461E-90AB-6D315462F168}"/>
    <cellStyle name="20% - Accent6 3 7" xfId="2309" xr:uid="{00000000-0005-0000-0000-000097030000}"/>
    <cellStyle name="20% - Accent6 3 7 2" xfId="6615" xr:uid="{00000000-0005-0000-0000-000098030000}"/>
    <cellStyle name="20% - Accent6 3 7 2 2" xfId="15941" xr:uid="{6BF42069-AB78-4273-B6BA-5B1A62BACC20}"/>
    <cellStyle name="20% - Accent6 3 7 3" xfId="11724" xr:uid="{4F83C5FA-D88B-4706-B594-3E2F6BEC5B63}"/>
    <cellStyle name="20% - Accent6 3 8" xfId="4549" xr:uid="{00000000-0005-0000-0000-000099030000}"/>
    <cellStyle name="20% - Accent6 3 8 2" xfId="13875" xr:uid="{8A991E6D-4DB5-47B4-A545-01AC8419A5DA}"/>
    <cellStyle name="20% - Accent6 3 9" xfId="8871" xr:uid="{6A653046-C3D6-46DC-9DAA-DA1241CBE9F0}"/>
    <cellStyle name="20% - Accent6 3 9 2" xfId="18195" xr:uid="{AF532DD8-3C02-4D66-93EB-1E8C55E2352E}"/>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2 2 2" xfId="16436" xr:uid="{F4E34AE2-EE3D-4BBF-A8C0-DFED064630A9}"/>
    <cellStyle name="20% - Accent6 4 2 2 3" xfId="12219" xr:uid="{5286EC9C-BA37-4FDB-B66D-9B1C532FD821}"/>
    <cellStyle name="20% - Accent6 4 2 3" xfId="4965" xr:uid="{00000000-0005-0000-0000-00009E030000}"/>
    <cellStyle name="20% - Accent6 4 2 3 2" xfId="14291" xr:uid="{D31D8E69-ECDC-4AB4-ADE2-E5B1689C33CD}"/>
    <cellStyle name="20% - Accent6 4 2 4" xfId="9382" xr:uid="{704ED43C-A59A-4E80-A03F-B933767E3A55}"/>
    <cellStyle name="20% - Accent6 4 2 4 2" xfId="18697" xr:uid="{1F49C65E-20C0-4F8C-A1DC-E3B514D73CC2}"/>
    <cellStyle name="20% - Accent6 4 2 5" xfId="10074" xr:uid="{30219EBB-C3EA-4E4C-8D30-12B8A92BAF86}"/>
    <cellStyle name="20% - Accent6 4 3" xfId="1070" xr:uid="{00000000-0005-0000-0000-00009F030000}"/>
    <cellStyle name="20% - Accent6 4 3 2" xfId="3301" xr:uid="{00000000-0005-0000-0000-0000A0030000}"/>
    <cellStyle name="20% - Accent6 4 3 2 2" xfId="7523" xr:uid="{00000000-0005-0000-0000-0000A1030000}"/>
    <cellStyle name="20% - Accent6 4 3 2 2 2" xfId="16849" xr:uid="{E7A1F40A-57E7-411C-B38B-925AFD24A980}"/>
    <cellStyle name="20% - Accent6 4 3 2 3" xfId="12632" xr:uid="{6276E66C-BB56-4196-9740-55182DA50A15}"/>
    <cellStyle name="20% - Accent6 4 3 3" xfId="5378" xr:uid="{00000000-0005-0000-0000-0000A2030000}"/>
    <cellStyle name="20% - Accent6 4 3 3 2" xfId="14704" xr:uid="{CD8A2DB3-04A6-4DD8-AECD-CE7A46DA4013}"/>
    <cellStyle name="20% - Accent6 4 3 4" xfId="10487" xr:uid="{25B88D5F-52A1-49CC-9A41-96FD50754A19}"/>
    <cellStyle name="20% - Accent6 4 4" xfId="1484" xr:uid="{00000000-0005-0000-0000-0000A3030000}"/>
    <cellStyle name="20% - Accent6 4 4 2" xfId="3714" xr:uid="{00000000-0005-0000-0000-0000A4030000}"/>
    <cellStyle name="20% - Accent6 4 4 2 2" xfId="7936" xr:uid="{00000000-0005-0000-0000-0000A5030000}"/>
    <cellStyle name="20% - Accent6 4 4 2 2 2" xfId="17262" xr:uid="{882A6EBC-21CA-4DD5-8F64-5DE4ECF325E3}"/>
    <cellStyle name="20% - Accent6 4 4 2 3" xfId="13045" xr:uid="{9696BC32-EFD4-4EE3-BC70-3CFEB4F081E1}"/>
    <cellStyle name="20% - Accent6 4 4 3" xfId="5791" xr:uid="{00000000-0005-0000-0000-0000A6030000}"/>
    <cellStyle name="20% - Accent6 4 4 3 2" xfId="15117" xr:uid="{F298864C-6CC9-4E6D-8DD2-B0F5D4D54F2A}"/>
    <cellStyle name="20% - Accent6 4 4 4" xfId="10900" xr:uid="{08D825F8-AAF3-4CB5-9729-A47F20E2CE73}"/>
    <cellStyle name="20% - Accent6 4 5" xfId="1898" xr:uid="{00000000-0005-0000-0000-0000A7030000}"/>
    <cellStyle name="20% - Accent6 4 5 2" xfId="4127" xr:uid="{00000000-0005-0000-0000-0000A8030000}"/>
    <cellStyle name="20% - Accent6 4 5 2 2" xfId="8349" xr:uid="{00000000-0005-0000-0000-0000A9030000}"/>
    <cellStyle name="20% - Accent6 4 5 2 2 2" xfId="17675" xr:uid="{5C6F7282-F7C3-416D-A617-E5128B6646D7}"/>
    <cellStyle name="20% - Accent6 4 5 2 3" xfId="13458" xr:uid="{13FB6CFF-3564-4DE6-BAA6-2664CC3CC608}"/>
    <cellStyle name="20% - Accent6 4 5 3" xfId="6204" xr:uid="{00000000-0005-0000-0000-0000AA030000}"/>
    <cellStyle name="20% - Accent6 4 5 3 2" xfId="15530" xr:uid="{86561720-DCC6-4CB2-9762-2E62E300E6CE}"/>
    <cellStyle name="20% - Accent6 4 5 4" xfId="11313" xr:uid="{B29BCFC0-CA05-4A24-80CA-DAE4E03C839E}"/>
    <cellStyle name="20% - Accent6 4 6" xfId="2311" xr:uid="{00000000-0005-0000-0000-0000AB030000}"/>
    <cellStyle name="20% - Accent6 4 6 2" xfId="6617" xr:uid="{00000000-0005-0000-0000-0000AC030000}"/>
    <cellStyle name="20% - Accent6 4 6 2 2" xfId="15943" xr:uid="{7830DAD6-909F-4309-BDA8-CE29DF049EF6}"/>
    <cellStyle name="20% - Accent6 4 6 3" xfId="11726" xr:uid="{D07DE0EC-8A87-419A-8C3C-6841A718185E}"/>
    <cellStyle name="20% - Accent6 4 7" xfId="4551" xr:uid="{00000000-0005-0000-0000-0000AD030000}"/>
    <cellStyle name="20% - Accent6 4 7 2" xfId="13877" xr:uid="{565B508D-8318-4C25-8E18-29DEEA1949D1}"/>
    <cellStyle name="20% - Accent6 4 8" xfId="8957" xr:uid="{03E1DA3A-6A3F-4C0D-9844-2D38E7BA13BC}"/>
    <cellStyle name="20% - Accent6 4 8 2" xfId="18281" xr:uid="{52817942-6854-484F-904E-FA0E48ADEC38}"/>
    <cellStyle name="20% - Accent6 4 9" xfId="9660" xr:uid="{69E2768E-AE88-42C5-898D-DAAB71D99856}"/>
    <cellStyle name="20% - Accent6 5" xfId="610" xr:uid="{00000000-0005-0000-0000-0000AE030000}"/>
    <cellStyle name="20% - Accent6 5 2" xfId="2881" xr:uid="{00000000-0005-0000-0000-0000AF030000}"/>
    <cellStyle name="20% - Accent6 5 2 2" xfId="7103" xr:uid="{00000000-0005-0000-0000-0000B0030000}"/>
    <cellStyle name="20% - Accent6 5 2 2 2" xfId="16429" xr:uid="{CA27B1C4-669B-45DC-A5C0-EAD2CAE40970}"/>
    <cellStyle name="20% - Accent6 5 2 3" xfId="12212" xr:uid="{BD0EDE5F-1647-455B-96A9-A3D766576760}"/>
    <cellStyle name="20% - Accent6 5 3" xfId="4958" xr:uid="{00000000-0005-0000-0000-0000B1030000}"/>
    <cellStyle name="20% - Accent6 5 3 2" xfId="14284" xr:uid="{68DBE40B-16B4-4A8D-BD6A-07024277022F}"/>
    <cellStyle name="20% - Accent6 5 4" xfId="9191" xr:uid="{C812E2E5-5572-4E86-9CB6-C7C53792C044}"/>
    <cellStyle name="20% - Accent6 5 4 2" xfId="18508" xr:uid="{701CDD16-E772-4A12-BDEA-97FE43CD8CB4}"/>
    <cellStyle name="20% - Accent6 5 5" xfId="10067" xr:uid="{8F60F548-27DF-4F04-8C2A-A0669EE2233A}"/>
    <cellStyle name="20% - Accent6 6" xfId="1063" xr:uid="{00000000-0005-0000-0000-0000B2030000}"/>
    <cellStyle name="20% - Accent6 6 2" xfId="3294" xr:uid="{00000000-0005-0000-0000-0000B3030000}"/>
    <cellStyle name="20% - Accent6 6 2 2" xfId="7516" xr:uid="{00000000-0005-0000-0000-0000B4030000}"/>
    <cellStyle name="20% - Accent6 6 2 2 2" xfId="16842" xr:uid="{FB9EDC75-6D64-43C6-B4F6-CFACFE53E249}"/>
    <cellStyle name="20% - Accent6 6 2 3" xfId="12625" xr:uid="{E08A1FE1-4CB0-4873-BEAA-F005CDF5B4F3}"/>
    <cellStyle name="20% - Accent6 6 3" xfId="5371" xr:uid="{00000000-0005-0000-0000-0000B5030000}"/>
    <cellStyle name="20% - Accent6 6 3 2" xfId="14697" xr:uid="{7A412374-7C21-4F51-B170-3DFF3788F774}"/>
    <cellStyle name="20% - Accent6 6 4" xfId="10480" xr:uid="{9F4F8537-58E2-42FE-BDBA-E04F1ABD2524}"/>
    <cellStyle name="20% - Accent6 7" xfId="1477" xr:uid="{00000000-0005-0000-0000-0000B6030000}"/>
    <cellStyle name="20% - Accent6 7 2" xfId="3707" xr:uid="{00000000-0005-0000-0000-0000B7030000}"/>
    <cellStyle name="20% - Accent6 7 2 2" xfId="7929" xr:uid="{00000000-0005-0000-0000-0000B8030000}"/>
    <cellStyle name="20% - Accent6 7 2 2 2" xfId="17255" xr:uid="{46B99092-D535-47C2-AA04-B7363A0BEB9B}"/>
    <cellStyle name="20% - Accent6 7 2 3" xfId="13038" xr:uid="{CA088512-B288-47CB-95FB-344C28D83003}"/>
    <cellStyle name="20% - Accent6 7 3" xfId="5784" xr:uid="{00000000-0005-0000-0000-0000B9030000}"/>
    <cellStyle name="20% - Accent6 7 3 2" xfId="15110" xr:uid="{7235B993-F756-4107-BE1C-3B2BCCB3EC95}"/>
    <cellStyle name="20% - Accent6 7 4" xfId="10893" xr:uid="{9716A6ED-C90B-4310-98E7-BA2DA5701FD8}"/>
    <cellStyle name="20% - Accent6 8" xfId="1891" xr:uid="{00000000-0005-0000-0000-0000BA030000}"/>
    <cellStyle name="20% - Accent6 8 2" xfId="4120" xr:uid="{00000000-0005-0000-0000-0000BB030000}"/>
    <cellStyle name="20% - Accent6 8 2 2" xfId="8342" xr:uid="{00000000-0005-0000-0000-0000BC030000}"/>
    <cellStyle name="20% - Accent6 8 2 2 2" xfId="17668" xr:uid="{DD0893FB-910F-48A6-923C-8BF428FB5B77}"/>
    <cellStyle name="20% - Accent6 8 2 3" xfId="13451" xr:uid="{B9495EF2-4CE4-494A-B4CA-6FE08A28373B}"/>
    <cellStyle name="20% - Accent6 8 3" xfId="6197" xr:uid="{00000000-0005-0000-0000-0000BD030000}"/>
    <cellStyle name="20% - Accent6 8 3 2" xfId="15523" xr:uid="{CBC3BD64-CB30-403A-A975-CC5324A5F3EF}"/>
    <cellStyle name="20% - Accent6 8 4" xfId="11306" xr:uid="{CC3BE381-73E0-44D2-9B3E-9F0F403C3D16}"/>
    <cellStyle name="20% - Accent6 9" xfId="2304" xr:uid="{00000000-0005-0000-0000-0000BE030000}"/>
    <cellStyle name="20% - Accent6 9 2" xfId="6610" xr:uid="{00000000-0005-0000-0000-0000BF030000}"/>
    <cellStyle name="20% - Accent6 9 2 2" xfId="15936" xr:uid="{3E679FAA-BDD6-4B93-8A11-933D78099E4C}"/>
    <cellStyle name="20% - Accent6 9 3" xfId="11719" xr:uid="{B6E36F0A-2458-42BE-80BB-B379F10EE305}"/>
    <cellStyle name="40% - Accent1" xfId="49" builtinId="31" customBuiltin="1"/>
    <cellStyle name="40% - Accent1 10" xfId="4552" xr:uid="{00000000-0005-0000-0000-0000C1030000}"/>
    <cellStyle name="40% - Accent1 10 2" xfId="13878" xr:uid="{DD9B3A86-9DCF-4B94-9861-9346A2974F54}"/>
    <cellStyle name="40% - Accent1 11" xfId="8759" xr:uid="{E0AA4078-00FF-4C00-81ED-1F048AC6C533}"/>
    <cellStyle name="40% - Accent1 11 2" xfId="18083" xr:uid="{15C84CCB-3A78-4CBF-8C91-44AC71914B1C}"/>
    <cellStyle name="40% - Accent1 12" xfId="9661" xr:uid="{9BD8A559-1B39-46C4-AD89-6A4B17C60D61}"/>
    <cellStyle name="40% - Accent1 2" xfId="50" xr:uid="{00000000-0005-0000-0000-0000C2030000}"/>
    <cellStyle name="40% - Accent1 2 10" xfId="8798" xr:uid="{82026451-631C-40CA-BC49-BE5DA2EA921A}"/>
    <cellStyle name="40% - Accent1 2 10 2" xfId="18122" xr:uid="{775CED5D-248C-4A57-88FB-35B5EEB992DD}"/>
    <cellStyle name="40% - Accent1 2 11" xfId="9662" xr:uid="{6B475BA3-15BA-4A29-97C0-0DC18213542C}"/>
    <cellStyle name="40% - Accent1 2 2" xfId="51" xr:uid="{00000000-0005-0000-0000-0000C3030000}"/>
    <cellStyle name="40% - Accent1 2 2 10" xfId="9663" xr:uid="{4BC32D37-3DFE-4A29-B952-0D5C0B68D3C6}"/>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2 2 2" xfId="16440" xr:uid="{9797420B-A9D9-4BEA-8468-9255216B4741}"/>
    <cellStyle name="40% - Accent1 2 2 2 2 2 3" xfId="12223" xr:uid="{38FB7F32-EC11-4FA6-918F-0BD0E802F9B4}"/>
    <cellStyle name="40% - Accent1 2 2 2 2 3" xfId="4969" xr:uid="{00000000-0005-0000-0000-0000C8030000}"/>
    <cellStyle name="40% - Accent1 2 2 2 2 3 2" xfId="14295" xr:uid="{95F1EB2B-2E5C-44A0-A7C4-2B7B74872F25}"/>
    <cellStyle name="40% - Accent1 2 2 2 2 4" xfId="9533" xr:uid="{757B5AC4-115E-4B90-B4EA-505C31F9B178}"/>
    <cellStyle name="40% - Accent1 2 2 2 2 4 2" xfId="18848" xr:uid="{EE1F966B-F673-437F-8A1B-83DE66C10359}"/>
    <cellStyle name="40% - Accent1 2 2 2 2 5" xfId="10078" xr:uid="{EBDCA8E5-69A6-4C86-8E7B-971EE9875746}"/>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2 2 2" xfId="16853" xr:uid="{01926D8A-BEAD-41E0-880C-A63C074A616F}"/>
    <cellStyle name="40% - Accent1 2 2 2 3 2 3" xfId="12636" xr:uid="{7E97F184-9F77-4407-9FFD-F5D67FBF3C7D}"/>
    <cellStyle name="40% - Accent1 2 2 2 3 3" xfId="5382" xr:uid="{00000000-0005-0000-0000-0000CC030000}"/>
    <cellStyle name="40% - Accent1 2 2 2 3 3 2" xfId="14708" xr:uid="{B9D417D2-A5D3-4425-8521-2D83B325F2CB}"/>
    <cellStyle name="40% - Accent1 2 2 2 3 4" xfId="10491" xr:uid="{8CA17003-DBC9-426A-B51E-2BEF84530125}"/>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2 2 2" xfId="17266" xr:uid="{D8FA40B2-0808-4264-9298-03E72E2B28CF}"/>
    <cellStyle name="40% - Accent1 2 2 2 4 2 3" xfId="13049" xr:uid="{A7B5C0A7-810C-432B-A007-097893D2B496}"/>
    <cellStyle name="40% - Accent1 2 2 2 4 3" xfId="5795" xr:uid="{00000000-0005-0000-0000-0000D0030000}"/>
    <cellStyle name="40% - Accent1 2 2 2 4 3 2" xfId="15121" xr:uid="{F25E4AC6-C53A-4770-A858-9E382B1C7BAA}"/>
    <cellStyle name="40% - Accent1 2 2 2 4 4" xfId="10904" xr:uid="{A1B1302C-A36A-4B87-802E-C2620F69F33C}"/>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2 2 2" xfId="17679" xr:uid="{11BBFA17-CDB9-431D-983F-5CBC50B32B31}"/>
    <cellStyle name="40% - Accent1 2 2 2 5 2 3" xfId="13462" xr:uid="{03D813A0-B352-480F-AEA4-30CEE053D599}"/>
    <cellStyle name="40% - Accent1 2 2 2 5 3" xfId="6208" xr:uid="{00000000-0005-0000-0000-0000D4030000}"/>
    <cellStyle name="40% - Accent1 2 2 2 5 3 2" xfId="15534" xr:uid="{E10DDBE6-44B1-40FA-BBA2-68FA3C558963}"/>
    <cellStyle name="40% - Accent1 2 2 2 5 4" xfId="11317" xr:uid="{E983BF19-A56E-43EA-A60C-B35085139F9B}"/>
    <cellStyle name="40% - Accent1 2 2 2 6" xfId="2315" xr:uid="{00000000-0005-0000-0000-0000D5030000}"/>
    <cellStyle name="40% - Accent1 2 2 2 6 2" xfId="6621" xr:uid="{00000000-0005-0000-0000-0000D6030000}"/>
    <cellStyle name="40% - Accent1 2 2 2 6 2 2" xfId="15947" xr:uid="{8E5F1DFC-8B3C-46C8-AB7F-50D48B7C917B}"/>
    <cellStyle name="40% - Accent1 2 2 2 6 3" xfId="11730" xr:uid="{933CE2AB-5453-4A05-B916-FF8A84E8292B}"/>
    <cellStyle name="40% - Accent1 2 2 2 7" xfId="4555" xr:uid="{00000000-0005-0000-0000-0000D7030000}"/>
    <cellStyle name="40% - Accent1 2 2 2 7 2" xfId="13881" xr:uid="{D0E86A3C-6109-4434-AB4B-EFBB341C47E5}"/>
    <cellStyle name="40% - Accent1 2 2 2 8" xfId="9108" xr:uid="{1189B5E8-DD3C-4F9A-ACD3-DB853C0AC60B}"/>
    <cellStyle name="40% - Accent1 2 2 2 8 2" xfId="18432" xr:uid="{0547164F-1D21-4780-8000-539F52B9590A}"/>
    <cellStyle name="40% - Accent1 2 2 2 9" xfId="9664" xr:uid="{56365985-E46E-470E-AD42-41F21134BDA7}"/>
    <cellStyle name="40% - Accent1 2 2 3" xfId="620" xr:uid="{00000000-0005-0000-0000-0000D8030000}"/>
    <cellStyle name="40% - Accent1 2 2 3 2" xfId="2891" xr:uid="{00000000-0005-0000-0000-0000D9030000}"/>
    <cellStyle name="40% - Accent1 2 2 3 2 2" xfId="7113" xr:uid="{00000000-0005-0000-0000-0000DA030000}"/>
    <cellStyle name="40% - Accent1 2 2 3 2 2 2" xfId="16439" xr:uid="{06F45AA4-C446-45AA-BE30-B76E140AFDFA}"/>
    <cellStyle name="40% - Accent1 2 2 3 2 3" xfId="12222" xr:uid="{6165A3E7-0443-4FFC-8710-59206C44339E}"/>
    <cellStyle name="40% - Accent1 2 2 3 3" xfId="4968" xr:uid="{00000000-0005-0000-0000-0000DB030000}"/>
    <cellStyle name="40% - Accent1 2 2 3 3 2" xfId="14294" xr:uid="{41160F84-B91B-4869-8E77-90AFA5B9AEA8}"/>
    <cellStyle name="40% - Accent1 2 2 3 4" xfId="9326" xr:uid="{6D693950-F4D3-4A82-8C01-49E2379281D4}"/>
    <cellStyle name="40% - Accent1 2 2 3 4 2" xfId="18641" xr:uid="{0513667E-AC55-4EFF-BE49-00B9C4ACD81B}"/>
    <cellStyle name="40% - Accent1 2 2 3 5" xfId="10077" xr:uid="{4B8D1B95-DBAD-48C2-A0F8-A58557E3D656}"/>
    <cellStyle name="40% - Accent1 2 2 4" xfId="1073" xr:uid="{00000000-0005-0000-0000-0000DC030000}"/>
    <cellStyle name="40% - Accent1 2 2 4 2" xfId="3304" xr:uid="{00000000-0005-0000-0000-0000DD030000}"/>
    <cellStyle name="40% - Accent1 2 2 4 2 2" xfId="7526" xr:uid="{00000000-0005-0000-0000-0000DE030000}"/>
    <cellStyle name="40% - Accent1 2 2 4 2 2 2" xfId="16852" xr:uid="{13EEB556-31E3-4219-8E65-97000B851AF7}"/>
    <cellStyle name="40% - Accent1 2 2 4 2 3" xfId="12635" xr:uid="{A0412FA5-41A8-4155-910A-D15F45299D9A}"/>
    <cellStyle name="40% - Accent1 2 2 4 3" xfId="5381" xr:uid="{00000000-0005-0000-0000-0000DF030000}"/>
    <cellStyle name="40% - Accent1 2 2 4 3 2" xfId="14707" xr:uid="{7EA1805F-0D9E-4B7E-A651-CA2A50F631D1}"/>
    <cellStyle name="40% - Accent1 2 2 4 4" xfId="10490" xr:uid="{0982FF14-7BB7-4985-90D8-7953919966FC}"/>
    <cellStyle name="40% - Accent1 2 2 5" xfId="1487" xr:uid="{00000000-0005-0000-0000-0000E0030000}"/>
    <cellStyle name="40% - Accent1 2 2 5 2" xfId="3717" xr:uid="{00000000-0005-0000-0000-0000E1030000}"/>
    <cellStyle name="40% - Accent1 2 2 5 2 2" xfId="7939" xr:uid="{00000000-0005-0000-0000-0000E2030000}"/>
    <cellStyle name="40% - Accent1 2 2 5 2 2 2" xfId="17265" xr:uid="{4A4D3EFB-6156-43CA-8A09-872EEAB717FD}"/>
    <cellStyle name="40% - Accent1 2 2 5 2 3" xfId="13048" xr:uid="{D5BF7EA8-A4DC-4FD1-AB67-67F6F594474F}"/>
    <cellStyle name="40% - Accent1 2 2 5 3" xfId="5794" xr:uid="{00000000-0005-0000-0000-0000E3030000}"/>
    <cellStyle name="40% - Accent1 2 2 5 3 2" xfId="15120" xr:uid="{4FE45B12-11AD-4C04-8AB2-53CDA63AAFA4}"/>
    <cellStyle name="40% - Accent1 2 2 5 4" xfId="10903" xr:uid="{297E7670-2F16-4E5F-B68A-D6D89002E666}"/>
    <cellStyle name="40% - Accent1 2 2 6" xfId="1901" xr:uid="{00000000-0005-0000-0000-0000E4030000}"/>
    <cellStyle name="40% - Accent1 2 2 6 2" xfId="4130" xr:uid="{00000000-0005-0000-0000-0000E5030000}"/>
    <cellStyle name="40% - Accent1 2 2 6 2 2" xfId="8352" xr:uid="{00000000-0005-0000-0000-0000E6030000}"/>
    <cellStyle name="40% - Accent1 2 2 6 2 2 2" xfId="17678" xr:uid="{00ACDF1B-8D72-417C-AE54-01820FD13DC5}"/>
    <cellStyle name="40% - Accent1 2 2 6 2 3" xfId="13461" xr:uid="{95EE40DA-8943-45C9-8FF5-CBAA64D2C757}"/>
    <cellStyle name="40% - Accent1 2 2 6 3" xfId="6207" xr:uid="{00000000-0005-0000-0000-0000E7030000}"/>
    <cellStyle name="40% - Accent1 2 2 6 3 2" xfId="15533" xr:uid="{2802E9C9-B1F8-4F47-BBE6-022FB465B215}"/>
    <cellStyle name="40% - Accent1 2 2 6 4" xfId="11316" xr:uid="{E9D09C9E-85AB-4D6E-A3C9-3D68DA3F36D2}"/>
    <cellStyle name="40% - Accent1 2 2 7" xfId="2314" xr:uid="{00000000-0005-0000-0000-0000E8030000}"/>
    <cellStyle name="40% - Accent1 2 2 7 2" xfId="6620" xr:uid="{00000000-0005-0000-0000-0000E9030000}"/>
    <cellStyle name="40% - Accent1 2 2 7 2 2" xfId="15946" xr:uid="{225581F0-E1C1-4889-BE78-080504FB0269}"/>
    <cellStyle name="40% - Accent1 2 2 7 3" xfId="11729" xr:uid="{0D7696A1-C85A-40EE-A4BD-DA8612000C19}"/>
    <cellStyle name="40% - Accent1 2 2 8" xfId="4554" xr:uid="{00000000-0005-0000-0000-0000EA030000}"/>
    <cellStyle name="40% - Accent1 2 2 8 2" xfId="13880" xr:uid="{EA8E31F9-512C-418E-A35C-9CF627622B71}"/>
    <cellStyle name="40% - Accent1 2 2 9" xfId="8901" xr:uid="{10130317-AF31-4351-8201-FD8BD447EA3C}"/>
    <cellStyle name="40% - Accent1 2 2 9 2" xfId="18225" xr:uid="{3F88186D-6056-4B70-9297-71947E66BC38}"/>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2 2 2" xfId="16441" xr:uid="{3CEBD37A-800D-44B5-94F9-AC23695F3DAD}"/>
    <cellStyle name="40% - Accent1 2 3 2 2 3" xfId="12224" xr:uid="{0B25A210-59F3-43FA-9594-DBAD4C26B8FF}"/>
    <cellStyle name="40% - Accent1 2 3 2 3" xfId="4970" xr:uid="{00000000-0005-0000-0000-0000EF030000}"/>
    <cellStyle name="40% - Accent1 2 3 2 3 2" xfId="14296" xr:uid="{01B9A7BD-C17E-4771-A792-87CC47FA1D4C}"/>
    <cellStyle name="40% - Accent1 2 3 2 4" xfId="9430" xr:uid="{C79D1FB2-141C-4301-8F37-B3B9643C0550}"/>
    <cellStyle name="40% - Accent1 2 3 2 4 2" xfId="18745" xr:uid="{D46AC79F-0156-45C1-8849-FDBE53D49D32}"/>
    <cellStyle name="40% - Accent1 2 3 2 5" xfId="10079" xr:uid="{E6044C37-6F55-4F55-93FA-D6E0A97BA257}"/>
    <cellStyle name="40% - Accent1 2 3 3" xfId="1075" xr:uid="{00000000-0005-0000-0000-0000F0030000}"/>
    <cellStyle name="40% - Accent1 2 3 3 2" xfId="3306" xr:uid="{00000000-0005-0000-0000-0000F1030000}"/>
    <cellStyle name="40% - Accent1 2 3 3 2 2" xfId="7528" xr:uid="{00000000-0005-0000-0000-0000F2030000}"/>
    <cellStyle name="40% - Accent1 2 3 3 2 2 2" xfId="16854" xr:uid="{309068CE-3ACF-429B-BFD7-B283E219386E}"/>
    <cellStyle name="40% - Accent1 2 3 3 2 3" xfId="12637" xr:uid="{775FA5EE-E602-4FD0-8D6F-4BD54E900FAB}"/>
    <cellStyle name="40% - Accent1 2 3 3 3" xfId="5383" xr:uid="{00000000-0005-0000-0000-0000F3030000}"/>
    <cellStyle name="40% - Accent1 2 3 3 3 2" xfId="14709" xr:uid="{EF71BE50-C868-4D79-9E5B-812C68C0781C}"/>
    <cellStyle name="40% - Accent1 2 3 3 4" xfId="10492" xr:uid="{9A44DD5A-064D-4338-B22C-B009AA8618D3}"/>
    <cellStyle name="40% - Accent1 2 3 4" xfId="1489" xr:uid="{00000000-0005-0000-0000-0000F4030000}"/>
    <cellStyle name="40% - Accent1 2 3 4 2" xfId="3719" xr:uid="{00000000-0005-0000-0000-0000F5030000}"/>
    <cellStyle name="40% - Accent1 2 3 4 2 2" xfId="7941" xr:uid="{00000000-0005-0000-0000-0000F6030000}"/>
    <cellStyle name="40% - Accent1 2 3 4 2 2 2" xfId="17267" xr:uid="{813F8BE1-0A19-49C3-9BEA-00D947DC70F1}"/>
    <cellStyle name="40% - Accent1 2 3 4 2 3" xfId="13050" xr:uid="{A531496B-F257-4F5C-AD80-48B5259C75BC}"/>
    <cellStyle name="40% - Accent1 2 3 4 3" xfId="5796" xr:uid="{00000000-0005-0000-0000-0000F7030000}"/>
    <cellStyle name="40% - Accent1 2 3 4 3 2" xfId="15122" xr:uid="{BBDB3DFD-28D3-44D6-9F7F-333E156181C7}"/>
    <cellStyle name="40% - Accent1 2 3 4 4" xfId="10905" xr:uid="{9801B729-4968-443F-BE61-C038748A6D5C}"/>
    <cellStyle name="40% - Accent1 2 3 5" xfId="1903" xr:uid="{00000000-0005-0000-0000-0000F8030000}"/>
    <cellStyle name="40% - Accent1 2 3 5 2" xfId="4132" xr:uid="{00000000-0005-0000-0000-0000F9030000}"/>
    <cellStyle name="40% - Accent1 2 3 5 2 2" xfId="8354" xr:uid="{00000000-0005-0000-0000-0000FA030000}"/>
    <cellStyle name="40% - Accent1 2 3 5 2 2 2" xfId="17680" xr:uid="{41A9DE0A-820A-42CF-95B7-1F4AB4DD92E4}"/>
    <cellStyle name="40% - Accent1 2 3 5 2 3" xfId="13463" xr:uid="{E15B0EEE-28F2-446D-B2DF-F3429065F17C}"/>
    <cellStyle name="40% - Accent1 2 3 5 3" xfId="6209" xr:uid="{00000000-0005-0000-0000-0000FB030000}"/>
    <cellStyle name="40% - Accent1 2 3 5 3 2" xfId="15535" xr:uid="{29E4154E-399B-4DB7-9F0B-C78F519E9443}"/>
    <cellStyle name="40% - Accent1 2 3 5 4" xfId="11318" xr:uid="{5E62E835-39A0-4879-BB7A-D8A14828BB9C}"/>
    <cellStyle name="40% - Accent1 2 3 6" xfId="2316" xr:uid="{00000000-0005-0000-0000-0000FC030000}"/>
    <cellStyle name="40% - Accent1 2 3 6 2" xfId="6622" xr:uid="{00000000-0005-0000-0000-0000FD030000}"/>
    <cellStyle name="40% - Accent1 2 3 6 2 2" xfId="15948" xr:uid="{4EDA7A65-00CA-4900-A7A2-8DE9EC8C4213}"/>
    <cellStyle name="40% - Accent1 2 3 6 3" xfId="11731" xr:uid="{531EC883-9BDC-45EC-B483-DE1802AACEFF}"/>
    <cellStyle name="40% - Accent1 2 3 7" xfId="4556" xr:uid="{00000000-0005-0000-0000-0000FE030000}"/>
    <cellStyle name="40% - Accent1 2 3 7 2" xfId="13882" xr:uid="{54D95018-7B39-447A-9934-2B2842B5C519}"/>
    <cellStyle name="40% - Accent1 2 3 8" xfId="9005" xr:uid="{83AF69B9-664F-4E19-B721-7989C2FEBC0C}"/>
    <cellStyle name="40% - Accent1 2 3 8 2" xfId="18329" xr:uid="{11F30485-D65E-4074-A5EB-35C9EBC1C0E8}"/>
    <cellStyle name="40% - Accent1 2 3 9" xfId="9665" xr:uid="{FB28A4FB-2A70-4E1B-B130-60D6BE3F883A}"/>
    <cellStyle name="40% - Accent1 2 4" xfId="619" xr:uid="{00000000-0005-0000-0000-0000FF030000}"/>
    <cellStyle name="40% - Accent1 2 4 2" xfId="2890" xr:uid="{00000000-0005-0000-0000-000000040000}"/>
    <cellStyle name="40% - Accent1 2 4 2 2" xfId="7112" xr:uid="{00000000-0005-0000-0000-000001040000}"/>
    <cellStyle name="40% - Accent1 2 4 2 2 2" xfId="16438" xr:uid="{C7BD72E7-FD6D-40F9-AD0F-F2D7E8D63C84}"/>
    <cellStyle name="40% - Accent1 2 4 2 3" xfId="12221" xr:uid="{CBB8FF65-F974-4F08-BF69-ED6E2384C263}"/>
    <cellStyle name="40% - Accent1 2 4 3" xfId="4967" xr:uid="{00000000-0005-0000-0000-000002040000}"/>
    <cellStyle name="40% - Accent1 2 4 3 2" xfId="14293" xr:uid="{ADD9DB60-3365-42E0-A4E8-581684761680}"/>
    <cellStyle name="40% - Accent1 2 4 4" xfId="9222" xr:uid="{A6B83122-AC98-4E58-AA4D-EC5ECC38FC6B}"/>
    <cellStyle name="40% - Accent1 2 4 4 2" xfId="18538" xr:uid="{15207DD8-A500-40C7-94E4-4EBBFEC7F038}"/>
    <cellStyle name="40% - Accent1 2 4 5" xfId="10076" xr:uid="{EAB26CA0-A63F-458D-A9ED-DBD39C2592BC}"/>
    <cellStyle name="40% - Accent1 2 5" xfId="1072" xr:uid="{00000000-0005-0000-0000-000003040000}"/>
    <cellStyle name="40% - Accent1 2 5 2" xfId="3303" xr:uid="{00000000-0005-0000-0000-000004040000}"/>
    <cellStyle name="40% - Accent1 2 5 2 2" xfId="7525" xr:uid="{00000000-0005-0000-0000-000005040000}"/>
    <cellStyle name="40% - Accent1 2 5 2 2 2" xfId="16851" xr:uid="{5A952665-9139-42FB-B02B-ECD12C7C9CEF}"/>
    <cellStyle name="40% - Accent1 2 5 2 3" xfId="12634" xr:uid="{415E108C-A205-46C6-8896-927A68540A20}"/>
    <cellStyle name="40% - Accent1 2 5 3" xfId="5380" xr:uid="{00000000-0005-0000-0000-000006040000}"/>
    <cellStyle name="40% - Accent1 2 5 3 2" xfId="14706" xr:uid="{161F4D76-9B9C-41C8-89F2-0797D4037F5E}"/>
    <cellStyle name="40% - Accent1 2 5 4" xfId="10489" xr:uid="{3624F60E-84EA-4970-9008-52C0F1E1FCA1}"/>
    <cellStyle name="40% - Accent1 2 6" xfId="1486" xr:uid="{00000000-0005-0000-0000-000007040000}"/>
    <cellStyle name="40% - Accent1 2 6 2" xfId="3716" xr:uid="{00000000-0005-0000-0000-000008040000}"/>
    <cellStyle name="40% - Accent1 2 6 2 2" xfId="7938" xr:uid="{00000000-0005-0000-0000-000009040000}"/>
    <cellStyle name="40% - Accent1 2 6 2 2 2" xfId="17264" xr:uid="{AF6934ED-3C47-4ACF-AAC8-C524564990C1}"/>
    <cellStyle name="40% - Accent1 2 6 2 3" xfId="13047" xr:uid="{E449260E-D477-4EAE-9FC1-8328A26A4AE0}"/>
    <cellStyle name="40% - Accent1 2 6 3" xfId="5793" xr:uid="{00000000-0005-0000-0000-00000A040000}"/>
    <cellStyle name="40% - Accent1 2 6 3 2" xfId="15119" xr:uid="{1E9C0EFE-54E7-4918-9AB0-1A4E9AD25AB9}"/>
    <cellStyle name="40% - Accent1 2 6 4" xfId="10902" xr:uid="{DD06E140-CBB6-48AD-B996-328B3B477322}"/>
    <cellStyle name="40% - Accent1 2 7" xfId="1900" xr:uid="{00000000-0005-0000-0000-00000B040000}"/>
    <cellStyle name="40% - Accent1 2 7 2" xfId="4129" xr:uid="{00000000-0005-0000-0000-00000C040000}"/>
    <cellStyle name="40% - Accent1 2 7 2 2" xfId="8351" xr:uid="{00000000-0005-0000-0000-00000D040000}"/>
    <cellStyle name="40% - Accent1 2 7 2 2 2" xfId="17677" xr:uid="{93A5EBE1-DEC3-4BB6-B167-A2CF53FA9306}"/>
    <cellStyle name="40% - Accent1 2 7 2 3" xfId="13460" xr:uid="{1716786B-9FDC-44B9-BED3-22E12CFA3840}"/>
    <cellStyle name="40% - Accent1 2 7 3" xfId="6206" xr:uid="{00000000-0005-0000-0000-00000E040000}"/>
    <cellStyle name="40% - Accent1 2 7 3 2" xfId="15532" xr:uid="{F1355B8B-C073-47D7-8138-F11167B148A1}"/>
    <cellStyle name="40% - Accent1 2 7 4" xfId="11315" xr:uid="{40EA3185-182F-4980-9E9A-7D0404C61C21}"/>
    <cellStyle name="40% - Accent1 2 8" xfId="2313" xr:uid="{00000000-0005-0000-0000-00000F040000}"/>
    <cellStyle name="40% - Accent1 2 8 2" xfId="6619" xr:uid="{00000000-0005-0000-0000-000010040000}"/>
    <cellStyle name="40% - Accent1 2 8 2 2" xfId="15945" xr:uid="{178B62EC-69E4-4702-B368-C603B2118B7D}"/>
    <cellStyle name="40% - Accent1 2 8 3" xfId="11728" xr:uid="{75A3BC80-3731-434E-BC8A-4031F65F2FC0}"/>
    <cellStyle name="40% - Accent1 2 9" xfId="4553" xr:uid="{00000000-0005-0000-0000-000011040000}"/>
    <cellStyle name="40% - Accent1 2 9 2" xfId="13879" xr:uid="{7039B9F9-F90B-47B0-A8A2-47E5AF49CB6A}"/>
    <cellStyle name="40% - Accent1 3" xfId="54" xr:uid="{00000000-0005-0000-0000-000012040000}"/>
    <cellStyle name="40% - Accent1 3 10" xfId="9666" xr:uid="{168F8E35-E492-40DE-BEAA-39D05591FE34}"/>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2 2 2" xfId="16443" xr:uid="{0844618C-E020-4B44-91BF-DA7D32A0B8EF}"/>
    <cellStyle name="40% - Accent1 3 2 2 2 3" xfId="12226" xr:uid="{1BEF81FA-96BE-4FB8-8EA2-747F04C7EBF3}"/>
    <cellStyle name="40% - Accent1 3 2 2 3" xfId="4972" xr:uid="{00000000-0005-0000-0000-000017040000}"/>
    <cellStyle name="40% - Accent1 3 2 2 3 2" xfId="14298" xr:uid="{3CD19F79-E53F-4C2A-9C7C-258A42B2DD90}"/>
    <cellStyle name="40% - Accent1 3 2 2 4" xfId="9494" xr:uid="{49092FA9-F337-44E8-98C8-15711B1C1558}"/>
    <cellStyle name="40% - Accent1 3 2 2 4 2" xfId="18809" xr:uid="{FFA3DAFD-85D5-4403-9EA5-50220BF24803}"/>
    <cellStyle name="40% - Accent1 3 2 2 5" xfId="10081" xr:uid="{D51A5D06-E245-445E-B9F1-6017B7F5724D}"/>
    <cellStyle name="40% - Accent1 3 2 3" xfId="1077" xr:uid="{00000000-0005-0000-0000-000018040000}"/>
    <cellStyle name="40% - Accent1 3 2 3 2" xfId="3308" xr:uid="{00000000-0005-0000-0000-000019040000}"/>
    <cellStyle name="40% - Accent1 3 2 3 2 2" xfId="7530" xr:uid="{00000000-0005-0000-0000-00001A040000}"/>
    <cellStyle name="40% - Accent1 3 2 3 2 2 2" xfId="16856" xr:uid="{3DB303BE-5284-45DD-9BB5-366E9BD6F0B8}"/>
    <cellStyle name="40% - Accent1 3 2 3 2 3" xfId="12639" xr:uid="{937FD0AE-A22E-4797-87F3-21ABD129848F}"/>
    <cellStyle name="40% - Accent1 3 2 3 3" xfId="5385" xr:uid="{00000000-0005-0000-0000-00001B040000}"/>
    <cellStyle name="40% - Accent1 3 2 3 3 2" xfId="14711" xr:uid="{75C1FF8D-15B8-45A4-A5A9-B2AF1B315C6D}"/>
    <cellStyle name="40% - Accent1 3 2 3 4" xfId="10494" xr:uid="{96B608C6-85B5-4417-91A4-7A448F514E33}"/>
    <cellStyle name="40% - Accent1 3 2 4" xfId="1491" xr:uid="{00000000-0005-0000-0000-00001C040000}"/>
    <cellStyle name="40% - Accent1 3 2 4 2" xfId="3721" xr:uid="{00000000-0005-0000-0000-00001D040000}"/>
    <cellStyle name="40% - Accent1 3 2 4 2 2" xfId="7943" xr:uid="{00000000-0005-0000-0000-00001E040000}"/>
    <cellStyle name="40% - Accent1 3 2 4 2 2 2" xfId="17269" xr:uid="{0850D9C2-49E5-4138-9B30-55E98F43E0ED}"/>
    <cellStyle name="40% - Accent1 3 2 4 2 3" xfId="13052" xr:uid="{391A39D4-B72A-4077-9203-36D4663EF39E}"/>
    <cellStyle name="40% - Accent1 3 2 4 3" xfId="5798" xr:uid="{00000000-0005-0000-0000-00001F040000}"/>
    <cellStyle name="40% - Accent1 3 2 4 3 2" xfId="15124" xr:uid="{CCB9FEBA-3EF0-462F-8987-B84BCE2BA8AC}"/>
    <cellStyle name="40% - Accent1 3 2 4 4" xfId="10907" xr:uid="{AE317726-7725-4BC7-A843-1CC5D657C68D}"/>
    <cellStyle name="40% - Accent1 3 2 5" xfId="1905" xr:uid="{00000000-0005-0000-0000-000020040000}"/>
    <cellStyle name="40% - Accent1 3 2 5 2" xfId="4134" xr:uid="{00000000-0005-0000-0000-000021040000}"/>
    <cellStyle name="40% - Accent1 3 2 5 2 2" xfId="8356" xr:uid="{00000000-0005-0000-0000-000022040000}"/>
    <cellStyle name="40% - Accent1 3 2 5 2 2 2" xfId="17682" xr:uid="{C642895B-0E52-45D6-8084-3D2C72567585}"/>
    <cellStyle name="40% - Accent1 3 2 5 2 3" xfId="13465" xr:uid="{771D71FB-086B-4937-922C-19FA0E6F7E1B}"/>
    <cellStyle name="40% - Accent1 3 2 5 3" xfId="6211" xr:uid="{00000000-0005-0000-0000-000023040000}"/>
    <cellStyle name="40% - Accent1 3 2 5 3 2" xfId="15537" xr:uid="{52A6C299-9CEA-4457-8AB7-85489B213BDC}"/>
    <cellStyle name="40% - Accent1 3 2 5 4" xfId="11320" xr:uid="{8B4C860D-42BF-49C8-9ED3-98A6B5B4148A}"/>
    <cellStyle name="40% - Accent1 3 2 6" xfId="2318" xr:uid="{00000000-0005-0000-0000-000024040000}"/>
    <cellStyle name="40% - Accent1 3 2 6 2" xfId="6624" xr:uid="{00000000-0005-0000-0000-000025040000}"/>
    <cellStyle name="40% - Accent1 3 2 6 2 2" xfId="15950" xr:uid="{824DC808-131B-4392-97FB-93291C9E9B18}"/>
    <cellStyle name="40% - Accent1 3 2 6 3" xfId="11733" xr:uid="{93AAE98C-BB65-4322-AE8C-F259BC12F7E3}"/>
    <cellStyle name="40% - Accent1 3 2 7" xfId="4558" xr:uid="{00000000-0005-0000-0000-000026040000}"/>
    <cellStyle name="40% - Accent1 3 2 7 2" xfId="13884" xr:uid="{809459A9-37E8-44D4-9D0B-73358BE59286}"/>
    <cellStyle name="40% - Accent1 3 2 8" xfId="9069" xr:uid="{F3D9FD63-8946-4492-B81A-42936E8B246D}"/>
    <cellStyle name="40% - Accent1 3 2 8 2" xfId="18393" xr:uid="{5F42076B-7B5D-4CB3-B12E-C9E5EDA3979B}"/>
    <cellStyle name="40% - Accent1 3 2 9" xfId="9667" xr:uid="{12624B78-A10A-432B-982C-20CA55E22DD8}"/>
    <cellStyle name="40% - Accent1 3 3" xfId="623" xr:uid="{00000000-0005-0000-0000-000027040000}"/>
    <cellStyle name="40% - Accent1 3 3 2" xfId="2894" xr:uid="{00000000-0005-0000-0000-000028040000}"/>
    <cellStyle name="40% - Accent1 3 3 2 2" xfId="7116" xr:uid="{00000000-0005-0000-0000-000029040000}"/>
    <cellStyle name="40% - Accent1 3 3 2 2 2" xfId="16442" xr:uid="{2E71625F-5899-4973-8DD8-3F93D08BA27A}"/>
    <cellStyle name="40% - Accent1 3 3 2 3" xfId="12225" xr:uid="{23DA04B6-F55F-4DB1-8FE6-545AE4F9B014}"/>
    <cellStyle name="40% - Accent1 3 3 3" xfId="4971" xr:uid="{00000000-0005-0000-0000-00002A040000}"/>
    <cellStyle name="40% - Accent1 3 3 3 2" xfId="14297" xr:uid="{FFBF276A-78D7-4929-9707-8378113591AF}"/>
    <cellStyle name="40% - Accent1 3 3 4" xfId="9287" xr:uid="{8C21B573-3D31-49DA-ACD8-D3EC7CC3A858}"/>
    <cellStyle name="40% - Accent1 3 3 4 2" xfId="18602" xr:uid="{56FC0ED3-01EC-4EDD-BA49-93BA9DD103F7}"/>
    <cellStyle name="40% - Accent1 3 3 5" xfId="10080" xr:uid="{EEFDC26F-8B52-421B-A30A-49E749422238}"/>
    <cellStyle name="40% - Accent1 3 4" xfId="1076" xr:uid="{00000000-0005-0000-0000-00002B040000}"/>
    <cellStyle name="40% - Accent1 3 4 2" xfId="3307" xr:uid="{00000000-0005-0000-0000-00002C040000}"/>
    <cellStyle name="40% - Accent1 3 4 2 2" xfId="7529" xr:uid="{00000000-0005-0000-0000-00002D040000}"/>
    <cellStyle name="40% - Accent1 3 4 2 2 2" xfId="16855" xr:uid="{49C19325-B5E6-4512-9A7C-31C1D691F1EC}"/>
    <cellStyle name="40% - Accent1 3 4 2 3" xfId="12638" xr:uid="{39D6EB72-7F40-43D3-A148-80B99D4C12B4}"/>
    <cellStyle name="40% - Accent1 3 4 3" xfId="5384" xr:uid="{00000000-0005-0000-0000-00002E040000}"/>
    <cellStyle name="40% - Accent1 3 4 3 2" xfId="14710" xr:uid="{DB27EFEB-E13A-4C36-ACD4-1D08C91DDADF}"/>
    <cellStyle name="40% - Accent1 3 4 4" xfId="10493" xr:uid="{A50B98A7-CBF1-4D2F-9535-63A6D8CDA1AA}"/>
    <cellStyle name="40% - Accent1 3 5" xfId="1490" xr:uid="{00000000-0005-0000-0000-00002F040000}"/>
    <cellStyle name="40% - Accent1 3 5 2" xfId="3720" xr:uid="{00000000-0005-0000-0000-000030040000}"/>
    <cellStyle name="40% - Accent1 3 5 2 2" xfId="7942" xr:uid="{00000000-0005-0000-0000-000031040000}"/>
    <cellStyle name="40% - Accent1 3 5 2 2 2" xfId="17268" xr:uid="{4A4B1E3B-1371-443F-B515-00CC8A45F951}"/>
    <cellStyle name="40% - Accent1 3 5 2 3" xfId="13051" xr:uid="{4A025CB0-D4CE-432D-8262-2785F6D44836}"/>
    <cellStyle name="40% - Accent1 3 5 3" xfId="5797" xr:uid="{00000000-0005-0000-0000-000032040000}"/>
    <cellStyle name="40% - Accent1 3 5 3 2" xfId="15123" xr:uid="{0E90DFD2-5DED-4D53-BDCC-B840080E7815}"/>
    <cellStyle name="40% - Accent1 3 5 4" xfId="10906" xr:uid="{BC65000C-B1EC-492B-B098-61C1F7FD6A31}"/>
    <cellStyle name="40% - Accent1 3 6" xfId="1904" xr:uid="{00000000-0005-0000-0000-000033040000}"/>
    <cellStyle name="40% - Accent1 3 6 2" xfId="4133" xr:uid="{00000000-0005-0000-0000-000034040000}"/>
    <cellStyle name="40% - Accent1 3 6 2 2" xfId="8355" xr:uid="{00000000-0005-0000-0000-000035040000}"/>
    <cellStyle name="40% - Accent1 3 6 2 2 2" xfId="17681" xr:uid="{617E2CF8-708F-4107-8E8E-E5FF20901BEF}"/>
    <cellStyle name="40% - Accent1 3 6 2 3" xfId="13464" xr:uid="{9CDBFD12-A9D6-4EFB-B69D-C39F635B2918}"/>
    <cellStyle name="40% - Accent1 3 6 3" xfId="6210" xr:uid="{00000000-0005-0000-0000-000036040000}"/>
    <cellStyle name="40% - Accent1 3 6 3 2" xfId="15536" xr:uid="{8AC16504-20CD-4C4F-9B9D-801FE694C6DA}"/>
    <cellStyle name="40% - Accent1 3 6 4" xfId="11319" xr:uid="{14E9C358-E05A-4CD5-A81F-FB769D160F97}"/>
    <cellStyle name="40% - Accent1 3 7" xfId="2317" xr:uid="{00000000-0005-0000-0000-000037040000}"/>
    <cellStyle name="40% - Accent1 3 7 2" xfId="6623" xr:uid="{00000000-0005-0000-0000-000038040000}"/>
    <cellStyle name="40% - Accent1 3 7 2 2" xfId="15949" xr:uid="{20E518B4-F24E-41F1-9FA1-DD6E7C3B90FC}"/>
    <cellStyle name="40% - Accent1 3 7 3" xfId="11732" xr:uid="{E4E7B255-AFDC-4003-A77D-38B762707518}"/>
    <cellStyle name="40% - Accent1 3 8" xfId="4557" xr:uid="{00000000-0005-0000-0000-000039040000}"/>
    <cellStyle name="40% - Accent1 3 8 2" xfId="13883" xr:uid="{00EE006C-CFE6-4917-A680-D9F0D3149291}"/>
    <cellStyle name="40% - Accent1 3 9" xfId="8862" xr:uid="{2CC30516-31CA-485E-88BE-FCC7F9756A95}"/>
    <cellStyle name="40% - Accent1 3 9 2" xfId="18186" xr:uid="{CC9DAD5A-E7DC-448A-A9BD-D67D89AD834D}"/>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2 2 2" xfId="16444" xr:uid="{D6799241-62EF-451C-97CC-0FDEA293279E}"/>
    <cellStyle name="40% - Accent1 4 2 2 3" xfId="12227" xr:uid="{FF511CCB-EB97-4563-B81D-38AAA430B44E}"/>
    <cellStyle name="40% - Accent1 4 2 3" xfId="4973" xr:uid="{00000000-0005-0000-0000-00003E040000}"/>
    <cellStyle name="40% - Accent1 4 2 3 2" xfId="14299" xr:uid="{1421A8EB-DBB6-4CEA-9244-C29ECE9D1A51}"/>
    <cellStyle name="40% - Accent1 4 2 4" xfId="9373" xr:uid="{3BC949C7-8F86-44EA-9F10-CF277586B131}"/>
    <cellStyle name="40% - Accent1 4 2 4 2" xfId="18688" xr:uid="{AB62024F-4786-474D-858F-888F9967D7D4}"/>
    <cellStyle name="40% - Accent1 4 2 5" xfId="10082" xr:uid="{5F12B5DB-8933-475B-92CC-87B25B6955CD}"/>
    <cellStyle name="40% - Accent1 4 3" xfId="1078" xr:uid="{00000000-0005-0000-0000-00003F040000}"/>
    <cellStyle name="40% - Accent1 4 3 2" xfId="3309" xr:uid="{00000000-0005-0000-0000-000040040000}"/>
    <cellStyle name="40% - Accent1 4 3 2 2" xfId="7531" xr:uid="{00000000-0005-0000-0000-000041040000}"/>
    <cellStyle name="40% - Accent1 4 3 2 2 2" xfId="16857" xr:uid="{1E4CA127-EC09-447F-B077-89DAED317C85}"/>
    <cellStyle name="40% - Accent1 4 3 2 3" xfId="12640" xr:uid="{D0F181BC-55F1-4C4B-A09C-12CA452B7646}"/>
    <cellStyle name="40% - Accent1 4 3 3" xfId="5386" xr:uid="{00000000-0005-0000-0000-000042040000}"/>
    <cellStyle name="40% - Accent1 4 3 3 2" xfId="14712" xr:uid="{BCC332AD-24A0-451C-92E4-7E18328706B0}"/>
    <cellStyle name="40% - Accent1 4 3 4" xfId="10495" xr:uid="{59B7A380-FAC5-47E1-940F-62D4CE80EA9A}"/>
    <cellStyle name="40% - Accent1 4 4" xfId="1492" xr:uid="{00000000-0005-0000-0000-000043040000}"/>
    <cellStyle name="40% - Accent1 4 4 2" xfId="3722" xr:uid="{00000000-0005-0000-0000-000044040000}"/>
    <cellStyle name="40% - Accent1 4 4 2 2" xfId="7944" xr:uid="{00000000-0005-0000-0000-000045040000}"/>
    <cellStyle name="40% - Accent1 4 4 2 2 2" xfId="17270" xr:uid="{025B151C-9D9F-413B-A827-6D6D3F2F9F3B}"/>
    <cellStyle name="40% - Accent1 4 4 2 3" xfId="13053" xr:uid="{1F14BE9C-AC2A-401F-9238-454D64F5F62A}"/>
    <cellStyle name="40% - Accent1 4 4 3" xfId="5799" xr:uid="{00000000-0005-0000-0000-000046040000}"/>
    <cellStyle name="40% - Accent1 4 4 3 2" xfId="15125" xr:uid="{5F9DE3A6-BA71-4719-AC9B-4FD5A0EA6305}"/>
    <cellStyle name="40% - Accent1 4 4 4" xfId="10908" xr:uid="{E251188F-4F10-4555-87AA-BF36A381E02B}"/>
    <cellStyle name="40% - Accent1 4 5" xfId="1906" xr:uid="{00000000-0005-0000-0000-000047040000}"/>
    <cellStyle name="40% - Accent1 4 5 2" xfId="4135" xr:uid="{00000000-0005-0000-0000-000048040000}"/>
    <cellStyle name="40% - Accent1 4 5 2 2" xfId="8357" xr:uid="{00000000-0005-0000-0000-000049040000}"/>
    <cellStyle name="40% - Accent1 4 5 2 2 2" xfId="17683" xr:uid="{0A573F6B-EC1C-43DC-BCD9-898010264DC4}"/>
    <cellStyle name="40% - Accent1 4 5 2 3" xfId="13466" xr:uid="{B2A6288F-667A-4FE8-BAAF-A0A1371D3CB0}"/>
    <cellStyle name="40% - Accent1 4 5 3" xfId="6212" xr:uid="{00000000-0005-0000-0000-00004A040000}"/>
    <cellStyle name="40% - Accent1 4 5 3 2" xfId="15538" xr:uid="{542A3A62-83EC-4033-B43B-C3827A2E5574}"/>
    <cellStyle name="40% - Accent1 4 5 4" xfId="11321" xr:uid="{29A7F453-1A51-4F27-BCB1-F7D796236FC0}"/>
    <cellStyle name="40% - Accent1 4 6" xfId="2319" xr:uid="{00000000-0005-0000-0000-00004B040000}"/>
    <cellStyle name="40% - Accent1 4 6 2" xfId="6625" xr:uid="{00000000-0005-0000-0000-00004C040000}"/>
    <cellStyle name="40% - Accent1 4 6 2 2" xfId="15951" xr:uid="{D21B549E-8174-478F-9A50-388FF73EF829}"/>
    <cellStyle name="40% - Accent1 4 6 3" xfId="11734" xr:uid="{D442DF9B-5BF5-4445-B4D4-8F11D275B15F}"/>
    <cellStyle name="40% - Accent1 4 7" xfId="4559" xr:uid="{00000000-0005-0000-0000-00004D040000}"/>
    <cellStyle name="40% - Accent1 4 7 2" xfId="13885" xr:uid="{B8D315C6-BE97-40F2-987A-7236C0D130A5}"/>
    <cellStyle name="40% - Accent1 4 8" xfId="8948" xr:uid="{7BCBB449-71B8-4468-A700-0125C7659C3D}"/>
    <cellStyle name="40% - Accent1 4 8 2" xfId="18272" xr:uid="{B6DF2454-2038-46A9-9EE3-CC243CA66778}"/>
    <cellStyle name="40% - Accent1 4 9" xfId="9668" xr:uid="{6AB02A8D-5128-4A4C-8FD6-D79FF1B5358C}"/>
    <cellStyle name="40% - Accent1 5" xfId="618" xr:uid="{00000000-0005-0000-0000-00004E040000}"/>
    <cellStyle name="40% - Accent1 5 2" xfId="2889" xr:uid="{00000000-0005-0000-0000-00004F040000}"/>
    <cellStyle name="40% - Accent1 5 2 2" xfId="7111" xr:uid="{00000000-0005-0000-0000-000050040000}"/>
    <cellStyle name="40% - Accent1 5 2 2 2" xfId="16437" xr:uid="{A3F948FD-EA71-47E9-9DD9-919D6E104E5A}"/>
    <cellStyle name="40% - Accent1 5 2 3" xfId="12220" xr:uid="{EC1748E3-29A3-43B3-A4C8-913711E00EBB}"/>
    <cellStyle name="40% - Accent1 5 3" xfId="4966" xr:uid="{00000000-0005-0000-0000-000051040000}"/>
    <cellStyle name="40% - Accent1 5 3 2" xfId="14292" xr:uid="{82105A98-4D40-4B06-BD50-666FB1B375B0}"/>
    <cellStyle name="40% - Accent1 5 4" xfId="9181" xr:uid="{332DA761-F1AA-4FF3-9BBB-9ECEE19D2DFF}"/>
    <cellStyle name="40% - Accent1 5 4 2" xfId="18499" xr:uid="{85711736-B44B-4A6A-A77C-25C05C7301F5}"/>
    <cellStyle name="40% - Accent1 5 5" xfId="10075" xr:uid="{B5521D44-9C24-4911-A3AB-7BC79FFEC22C}"/>
    <cellStyle name="40% - Accent1 6" xfId="1071" xr:uid="{00000000-0005-0000-0000-000052040000}"/>
    <cellStyle name="40% - Accent1 6 2" xfId="3302" xr:uid="{00000000-0005-0000-0000-000053040000}"/>
    <cellStyle name="40% - Accent1 6 2 2" xfId="7524" xr:uid="{00000000-0005-0000-0000-000054040000}"/>
    <cellStyle name="40% - Accent1 6 2 2 2" xfId="16850" xr:uid="{602C3968-B77A-40BB-94BF-3546C69893AD}"/>
    <cellStyle name="40% - Accent1 6 2 3" xfId="12633" xr:uid="{6EDC4BF9-BFFF-45D3-B4AF-1D18B24AF66E}"/>
    <cellStyle name="40% - Accent1 6 3" xfId="5379" xr:uid="{00000000-0005-0000-0000-000055040000}"/>
    <cellStyle name="40% - Accent1 6 3 2" xfId="14705" xr:uid="{6277EB9E-EE42-4B55-941E-44B922E685F1}"/>
    <cellStyle name="40% - Accent1 6 4" xfId="10488" xr:uid="{E2F85356-B324-46CB-A4A5-00FC2C33C2FC}"/>
    <cellStyle name="40% - Accent1 7" xfId="1485" xr:uid="{00000000-0005-0000-0000-000056040000}"/>
    <cellStyle name="40% - Accent1 7 2" xfId="3715" xr:uid="{00000000-0005-0000-0000-000057040000}"/>
    <cellStyle name="40% - Accent1 7 2 2" xfId="7937" xr:uid="{00000000-0005-0000-0000-000058040000}"/>
    <cellStyle name="40% - Accent1 7 2 2 2" xfId="17263" xr:uid="{F5011271-0068-43C7-891A-568A83CF4D6D}"/>
    <cellStyle name="40% - Accent1 7 2 3" xfId="13046" xr:uid="{E85FDC2F-939A-432C-8297-21214C4C8A84}"/>
    <cellStyle name="40% - Accent1 7 3" xfId="5792" xr:uid="{00000000-0005-0000-0000-000059040000}"/>
    <cellStyle name="40% - Accent1 7 3 2" xfId="15118" xr:uid="{96EE8D82-C401-4FE8-BD2E-B7044D9FC493}"/>
    <cellStyle name="40% - Accent1 7 4" xfId="10901" xr:uid="{383A39F6-73D5-431E-AAE9-028DBE72804A}"/>
    <cellStyle name="40% - Accent1 8" xfId="1899" xr:uid="{00000000-0005-0000-0000-00005A040000}"/>
    <cellStyle name="40% - Accent1 8 2" xfId="4128" xr:uid="{00000000-0005-0000-0000-00005B040000}"/>
    <cellStyle name="40% - Accent1 8 2 2" xfId="8350" xr:uid="{00000000-0005-0000-0000-00005C040000}"/>
    <cellStyle name="40% - Accent1 8 2 2 2" xfId="17676" xr:uid="{B5272509-FC36-4C73-A1B1-B6F23FA7D047}"/>
    <cellStyle name="40% - Accent1 8 2 3" xfId="13459" xr:uid="{2134AB7C-B5C8-4381-93FB-25F2E27DA463}"/>
    <cellStyle name="40% - Accent1 8 3" xfId="6205" xr:uid="{00000000-0005-0000-0000-00005D040000}"/>
    <cellStyle name="40% - Accent1 8 3 2" xfId="15531" xr:uid="{84C3F71B-4FD5-4861-9128-05E6F4B22EEE}"/>
    <cellStyle name="40% - Accent1 8 4" xfId="11314" xr:uid="{DBE98994-5D8D-4C8E-98DB-0502EDD56DE8}"/>
    <cellStyle name="40% - Accent1 9" xfId="2312" xr:uid="{00000000-0005-0000-0000-00005E040000}"/>
    <cellStyle name="40% - Accent1 9 2" xfId="6618" xr:uid="{00000000-0005-0000-0000-00005F040000}"/>
    <cellStyle name="40% - Accent1 9 2 2" xfId="15944" xr:uid="{3EF261DF-EE9C-4AAF-993C-D4238B322B76}"/>
    <cellStyle name="40% - Accent1 9 3" xfId="11727" xr:uid="{12E4E68B-7A53-4F9C-8D0F-B00633A77F01}"/>
    <cellStyle name="40% - Accent2" xfId="57" builtinId="35" customBuiltin="1"/>
    <cellStyle name="40% - Accent2 10" xfId="4560" xr:uid="{00000000-0005-0000-0000-000061040000}"/>
    <cellStyle name="40% - Accent2 10 2" xfId="13886" xr:uid="{435320BE-4D8B-4ECA-B303-E41E975C0B85}"/>
    <cellStyle name="40% - Accent2 11" xfId="8761" xr:uid="{8631D9D1-53DA-4958-8F7C-AD68B7B91D61}"/>
    <cellStyle name="40% - Accent2 11 2" xfId="18085" xr:uid="{0A973E93-258C-4DDC-B65E-205E696679C6}"/>
    <cellStyle name="40% - Accent2 12" xfId="9669" xr:uid="{341DC433-F930-4DE5-A924-6132812FAE54}"/>
    <cellStyle name="40% - Accent2 2" xfId="58" xr:uid="{00000000-0005-0000-0000-000062040000}"/>
    <cellStyle name="40% - Accent2 2 10" xfId="8799" xr:uid="{E3EEC046-6E76-44A5-8D1B-64621A8F0AC5}"/>
    <cellStyle name="40% - Accent2 2 10 2" xfId="18123" xr:uid="{365CD4BC-6E7C-4A5D-9AE2-20031C6D43A2}"/>
    <cellStyle name="40% - Accent2 2 11" xfId="9670" xr:uid="{3A7BE67D-F8E4-4341-8E61-B82588178A53}"/>
    <cellStyle name="40% - Accent2 2 2" xfId="59" xr:uid="{00000000-0005-0000-0000-000063040000}"/>
    <cellStyle name="40% - Accent2 2 2 10" xfId="9671" xr:uid="{5EBE8760-2058-4238-B459-BE6FBF2A1B13}"/>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2 2 2" xfId="16448" xr:uid="{BC96A537-5621-4EEF-A055-FBEF3E8053C4}"/>
    <cellStyle name="40% - Accent2 2 2 2 2 2 3" xfId="12231" xr:uid="{592B2D67-0705-4466-80B1-5E6F1C06CE66}"/>
    <cellStyle name="40% - Accent2 2 2 2 2 3" xfId="4977" xr:uid="{00000000-0005-0000-0000-000068040000}"/>
    <cellStyle name="40% - Accent2 2 2 2 2 3 2" xfId="14303" xr:uid="{297A3A07-71EB-44CB-9BFA-170CD0C60C0B}"/>
    <cellStyle name="40% - Accent2 2 2 2 2 4" xfId="9534" xr:uid="{9F53A086-33FC-422E-9DFF-72D04AC43949}"/>
    <cellStyle name="40% - Accent2 2 2 2 2 4 2" xfId="18849" xr:uid="{185CF1C6-15A7-487F-983D-9D26BAAED239}"/>
    <cellStyle name="40% - Accent2 2 2 2 2 5" xfId="10086" xr:uid="{A746FCD8-A92B-4CBF-9BF9-CD0FF68486CF}"/>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2 2 2" xfId="16861" xr:uid="{E9582E0C-7584-4CB1-996B-F12DF276744A}"/>
    <cellStyle name="40% - Accent2 2 2 2 3 2 3" xfId="12644" xr:uid="{AAA3242E-2EF0-476C-AA8A-8DDDD6688D4A}"/>
    <cellStyle name="40% - Accent2 2 2 2 3 3" xfId="5390" xr:uid="{00000000-0005-0000-0000-00006C040000}"/>
    <cellStyle name="40% - Accent2 2 2 2 3 3 2" xfId="14716" xr:uid="{AFC59DFA-72E4-4343-9E32-1653C90F127D}"/>
    <cellStyle name="40% - Accent2 2 2 2 3 4" xfId="10499" xr:uid="{B0002739-9A91-49A2-9113-2D71B1F533BD}"/>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2 2 2" xfId="17274" xr:uid="{0B3BAAA9-5E4D-41C0-9945-11E380D398FB}"/>
    <cellStyle name="40% - Accent2 2 2 2 4 2 3" xfId="13057" xr:uid="{D33EE36F-AD34-475C-A44C-06B828AEDEA9}"/>
    <cellStyle name="40% - Accent2 2 2 2 4 3" xfId="5803" xr:uid="{00000000-0005-0000-0000-000070040000}"/>
    <cellStyle name="40% - Accent2 2 2 2 4 3 2" xfId="15129" xr:uid="{BD66741B-07B5-4175-B4B0-D925730E27C9}"/>
    <cellStyle name="40% - Accent2 2 2 2 4 4" xfId="10912" xr:uid="{ADB7FC8E-4236-4B00-B1AE-5B808F530B99}"/>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2 2 2" xfId="17687" xr:uid="{15A41C8C-F599-492D-91B8-70FD3C20ED7E}"/>
    <cellStyle name="40% - Accent2 2 2 2 5 2 3" xfId="13470" xr:uid="{7291FCAC-FA91-46A9-B2E1-88B3AEDF2D71}"/>
    <cellStyle name="40% - Accent2 2 2 2 5 3" xfId="6216" xr:uid="{00000000-0005-0000-0000-000074040000}"/>
    <cellStyle name="40% - Accent2 2 2 2 5 3 2" xfId="15542" xr:uid="{0F048CA8-47DF-4777-BB01-2075CA73B07B}"/>
    <cellStyle name="40% - Accent2 2 2 2 5 4" xfId="11325" xr:uid="{078CD103-0EC2-4D43-A55E-E85473FF34A4}"/>
    <cellStyle name="40% - Accent2 2 2 2 6" xfId="2323" xr:uid="{00000000-0005-0000-0000-000075040000}"/>
    <cellStyle name="40% - Accent2 2 2 2 6 2" xfId="6629" xr:uid="{00000000-0005-0000-0000-000076040000}"/>
    <cellStyle name="40% - Accent2 2 2 2 6 2 2" xfId="15955" xr:uid="{7FD2E02B-1ACD-4C31-AFD6-6B22100E470E}"/>
    <cellStyle name="40% - Accent2 2 2 2 6 3" xfId="11738" xr:uid="{F01AEB2A-6F07-4499-9E84-EFF0671F32F3}"/>
    <cellStyle name="40% - Accent2 2 2 2 7" xfId="4563" xr:uid="{00000000-0005-0000-0000-000077040000}"/>
    <cellStyle name="40% - Accent2 2 2 2 7 2" xfId="13889" xr:uid="{E10C0783-338D-4FCA-B99C-C2FC36A9217B}"/>
    <cellStyle name="40% - Accent2 2 2 2 8" xfId="9109" xr:uid="{73F0012D-4386-4224-BFB0-7DB1C0E98822}"/>
    <cellStyle name="40% - Accent2 2 2 2 8 2" xfId="18433" xr:uid="{5EAAAC18-301B-4C03-A993-556994291986}"/>
    <cellStyle name="40% - Accent2 2 2 2 9" xfId="9672" xr:uid="{8080AEFD-F392-408F-9726-C46230132EA1}"/>
    <cellStyle name="40% - Accent2 2 2 3" xfId="628" xr:uid="{00000000-0005-0000-0000-000078040000}"/>
    <cellStyle name="40% - Accent2 2 2 3 2" xfId="2899" xr:uid="{00000000-0005-0000-0000-000079040000}"/>
    <cellStyle name="40% - Accent2 2 2 3 2 2" xfId="7121" xr:uid="{00000000-0005-0000-0000-00007A040000}"/>
    <cellStyle name="40% - Accent2 2 2 3 2 2 2" xfId="16447" xr:uid="{CE2FD7D6-6E4E-4E6A-BF75-2C38D5795334}"/>
    <cellStyle name="40% - Accent2 2 2 3 2 3" xfId="12230" xr:uid="{BA8E9176-5B1F-47E1-9B09-483839326ADB}"/>
    <cellStyle name="40% - Accent2 2 2 3 3" xfId="4976" xr:uid="{00000000-0005-0000-0000-00007B040000}"/>
    <cellStyle name="40% - Accent2 2 2 3 3 2" xfId="14302" xr:uid="{1294B14A-DBBE-4DA7-AFF8-F7B4CF7EBC54}"/>
    <cellStyle name="40% - Accent2 2 2 3 4" xfId="9327" xr:uid="{F2BC9A12-B689-4B73-B71E-77A9F0BC7FE4}"/>
    <cellStyle name="40% - Accent2 2 2 3 4 2" xfId="18642" xr:uid="{D7C8B19C-6B94-49A5-8B0D-276BE7534DAA}"/>
    <cellStyle name="40% - Accent2 2 2 3 5" xfId="10085" xr:uid="{8284B418-BFBD-4736-B58A-926534D81CE8}"/>
    <cellStyle name="40% - Accent2 2 2 4" xfId="1081" xr:uid="{00000000-0005-0000-0000-00007C040000}"/>
    <cellStyle name="40% - Accent2 2 2 4 2" xfId="3312" xr:uid="{00000000-0005-0000-0000-00007D040000}"/>
    <cellStyle name="40% - Accent2 2 2 4 2 2" xfId="7534" xr:uid="{00000000-0005-0000-0000-00007E040000}"/>
    <cellStyle name="40% - Accent2 2 2 4 2 2 2" xfId="16860" xr:uid="{15EB7713-A337-4710-996E-1FC095B27129}"/>
    <cellStyle name="40% - Accent2 2 2 4 2 3" xfId="12643" xr:uid="{D8DBCED2-726A-4321-9FD2-2C030128F7B0}"/>
    <cellStyle name="40% - Accent2 2 2 4 3" xfId="5389" xr:uid="{00000000-0005-0000-0000-00007F040000}"/>
    <cellStyle name="40% - Accent2 2 2 4 3 2" xfId="14715" xr:uid="{E403E610-83DE-4469-9D7E-175A10A15EB5}"/>
    <cellStyle name="40% - Accent2 2 2 4 4" xfId="10498" xr:uid="{C54F65AD-1647-4178-AE91-67B6C33A17B3}"/>
    <cellStyle name="40% - Accent2 2 2 5" xfId="1495" xr:uid="{00000000-0005-0000-0000-000080040000}"/>
    <cellStyle name="40% - Accent2 2 2 5 2" xfId="3725" xr:uid="{00000000-0005-0000-0000-000081040000}"/>
    <cellStyle name="40% - Accent2 2 2 5 2 2" xfId="7947" xr:uid="{00000000-0005-0000-0000-000082040000}"/>
    <cellStyle name="40% - Accent2 2 2 5 2 2 2" xfId="17273" xr:uid="{E3844231-9476-44DE-A96E-03551294B017}"/>
    <cellStyle name="40% - Accent2 2 2 5 2 3" xfId="13056" xr:uid="{601907D2-5923-45E3-A6C8-50D25FD93FEA}"/>
    <cellStyle name="40% - Accent2 2 2 5 3" xfId="5802" xr:uid="{00000000-0005-0000-0000-000083040000}"/>
    <cellStyle name="40% - Accent2 2 2 5 3 2" xfId="15128" xr:uid="{1B67341E-AB80-4701-9471-F37D12276BB0}"/>
    <cellStyle name="40% - Accent2 2 2 5 4" xfId="10911" xr:uid="{C0C54274-D867-4A08-A5C6-FF276F2FE159}"/>
    <cellStyle name="40% - Accent2 2 2 6" xfId="1909" xr:uid="{00000000-0005-0000-0000-000084040000}"/>
    <cellStyle name="40% - Accent2 2 2 6 2" xfId="4138" xr:uid="{00000000-0005-0000-0000-000085040000}"/>
    <cellStyle name="40% - Accent2 2 2 6 2 2" xfId="8360" xr:uid="{00000000-0005-0000-0000-000086040000}"/>
    <cellStyle name="40% - Accent2 2 2 6 2 2 2" xfId="17686" xr:uid="{943F32B2-4200-4DB4-B8BA-CB18B04358E5}"/>
    <cellStyle name="40% - Accent2 2 2 6 2 3" xfId="13469" xr:uid="{12E1B493-D9FF-44AC-9CE1-23E34F0DB1C8}"/>
    <cellStyle name="40% - Accent2 2 2 6 3" xfId="6215" xr:uid="{00000000-0005-0000-0000-000087040000}"/>
    <cellStyle name="40% - Accent2 2 2 6 3 2" xfId="15541" xr:uid="{84356ED8-8943-4F42-8F98-EB01EB0D822B}"/>
    <cellStyle name="40% - Accent2 2 2 6 4" xfId="11324" xr:uid="{29D9BB23-2303-4514-BEFD-4F564657C523}"/>
    <cellStyle name="40% - Accent2 2 2 7" xfId="2322" xr:uid="{00000000-0005-0000-0000-000088040000}"/>
    <cellStyle name="40% - Accent2 2 2 7 2" xfId="6628" xr:uid="{00000000-0005-0000-0000-000089040000}"/>
    <cellStyle name="40% - Accent2 2 2 7 2 2" xfId="15954" xr:uid="{5BA93B89-5F97-490C-9F28-DE43CE337DF4}"/>
    <cellStyle name="40% - Accent2 2 2 7 3" xfId="11737" xr:uid="{AE5CDA5F-2C96-44F4-9636-8279AC89F507}"/>
    <cellStyle name="40% - Accent2 2 2 8" xfId="4562" xr:uid="{00000000-0005-0000-0000-00008A040000}"/>
    <cellStyle name="40% - Accent2 2 2 8 2" xfId="13888" xr:uid="{E7B5FCB1-607B-4805-88D6-EEC5082E0A53}"/>
    <cellStyle name="40% - Accent2 2 2 9" xfId="8902" xr:uid="{5D0C2022-B7A4-4DE2-895F-9E4BE510A7B9}"/>
    <cellStyle name="40% - Accent2 2 2 9 2" xfId="18226" xr:uid="{A9F7FFE8-49BE-4C62-813A-B3C43D717301}"/>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2 2 2" xfId="16449" xr:uid="{29904E0D-5504-4597-899A-DC961BBEFA4A}"/>
    <cellStyle name="40% - Accent2 2 3 2 2 3" xfId="12232" xr:uid="{79F1B95F-C04E-4D9E-AA71-0D7329367272}"/>
    <cellStyle name="40% - Accent2 2 3 2 3" xfId="4978" xr:uid="{00000000-0005-0000-0000-00008F040000}"/>
    <cellStyle name="40% - Accent2 2 3 2 3 2" xfId="14304" xr:uid="{4FE12BAF-5F53-43A9-BFBE-725CF26D6652}"/>
    <cellStyle name="40% - Accent2 2 3 2 4" xfId="9431" xr:uid="{BD4E3561-302E-4359-AAF3-4F2E007BC697}"/>
    <cellStyle name="40% - Accent2 2 3 2 4 2" xfId="18746" xr:uid="{B668D6EF-5243-40D8-BD7F-8E3EBE0EC374}"/>
    <cellStyle name="40% - Accent2 2 3 2 5" xfId="10087" xr:uid="{CE69806E-BEB3-4847-ABEC-A40F2BA515D6}"/>
    <cellStyle name="40% - Accent2 2 3 3" xfId="1083" xr:uid="{00000000-0005-0000-0000-000090040000}"/>
    <cellStyle name="40% - Accent2 2 3 3 2" xfId="3314" xr:uid="{00000000-0005-0000-0000-000091040000}"/>
    <cellStyle name="40% - Accent2 2 3 3 2 2" xfId="7536" xr:uid="{00000000-0005-0000-0000-000092040000}"/>
    <cellStyle name="40% - Accent2 2 3 3 2 2 2" xfId="16862" xr:uid="{D6AA72D0-6702-406D-BA65-0C674CF07FB7}"/>
    <cellStyle name="40% - Accent2 2 3 3 2 3" xfId="12645" xr:uid="{6FF09713-D09D-4495-B0AA-2B3CFAB9BD27}"/>
    <cellStyle name="40% - Accent2 2 3 3 3" xfId="5391" xr:uid="{00000000-0005-0000-0000-000093040000}"/>
    <cellStyle name="40% - Accent2 2 3 3 3 2" xfId="14717" xr:uid="{2EE022DA-EA85-42FE-B439-4EFC2DE44661}"/>
    <cellStyle name="40% - Accent2 2 3 3 4" xfId="10500" xr:uid="{7AD37839-F931-476A-A0E0-685798901DB0}"/>
    <cellStyle name="40% - Accent2 2 3 4" xfId="1497" xr:uid="{00000000-0005-0000-0000-000094040000}"/>
    <cellStyle name="40% - Accent2 2 3 4 2" xfId="3727" xr:uid="{00000000-0005-0000-0000-000095040000}"/>
    <cellStyle name="40% - Accent2 2 3 4 2 2" xfId="7949" xr:uid="{00000000-0005-0000-0000-000096040000}"/>
    <cellStyle name="40% - Accent2 2 3 4 2 2 2" xfId="17275" xr:uid="{97789622-65D0-4EAE-9B10-D553630FA749}"/>
    <cellStyle name="40% - Accent2 2 3 4 2 3" xfId="13058" xr:uid="{C4CE5BC2-E9CD-4E56-986D-C3F6982961D6}"/>
    <cellStyle name="40% - Accent2 2 3 4 3" xfId="5804" xr:uid="{00000000-0005-0000-0000-000097040000}"/>
    <cellStyle name="40% - Accent2 2 3 4 3 2" xfId="15130" xr:uid="{356AD597-9472-4F56-8D09-14A3AC2920E3}"/>
    <cellStyle name="40% - Accent2 2 3 4 4" xfId="10913" xr:uid="{9E53DB16-FFD9-42E3-9D97-6D261A26A6F6}"/>
    <cellStyle name="40% - Accent2 2 3 5" xfId="1911" xr:uid="{00000000-0005-0000-0000-000098040000}"/>
    <cellStyle name="40% - Accent2 2 3 5 2" xfId="4140" xr:uid="{00000000-0005-0000-0000-000099040000}"/>
    <cellStyle name="40% - Accent2 2 3 5 2 2" xfId="8362" xr:uid="{00000000-0005-0000-0000-00009A040000}"/>
    <cellStyle name="40% - Accent2 2 3 5 2 2 2" xfId="17688" xr:uid="{194509B7-1950-4010-BB45-7DA6E5814014}"/>
    <cellStyle name="40% - Accent2 2 3 5 2 3" xfId="13471" xr:uid="{7060DC6D-5B30-4AD0-BEE4-78D871FA1ED5}"/>
    <cellStyle name="40% - Accent2 2 3 5 3" xfId="6217" xr:uid="{00000000-0005-0000-0000-00009B040000}"/>
    <cellStyle name="40% - Accent2 2 3 5 3 2" xfId="15543" xr:uid="{D64A01F1-5DE6-4F39-8B0E-F807DC9A2961}"/>
    <cellStyle name="40% - Accent2 2 3 5 4" xfId="11326" xr:uid="{9E5ACABD-239A-4E93-BA9C-3D8EC07D3373}"/>
    <cellStyle name="40% - Accent2 2 3 6" xfId="2324" xr:uid="{00000000-0005-0000-0000-00009C040000}"/>
    <cellStyle name="40% - Accent2 2 3 6 2" xfId="6630" xr:uid="{00000000-0005-0000-0000-00009D040000}"/>
    <cellStyle name="40% - Accent2 2 3 6 2 2" xfId="15956" xr:uid="{89CCC3DD-CF8B-4E30-8361-CD4C1AEEDC11}"/>
    <cellStyle name="40% - Accent2 2 3 6 3" xfId="11739" xr:uid="{DA7C0FD2-F07A-43EF-BC4B-7133D864067D}"/>
    <cellStyle name="40% - Accent2 2 3 7" xfId="4564" xr:uid="{00000000-0005-0000-0000-00009E040000}"/>
    <cellStyle name="40% - Accent2 2 3 7 2" xfId="13890" xr:uid="{8A2AFB99-DE27-4302-B830-FA6A3CF54540}"/>
    <cellStyle name="40% - Accent2 2 3 8" xfId="9006" xr:uid="{E6E89EA5-B76F-4FCC-89B9-DD4135B6364B}"/>
    <cellStyle name="40% - Accent2 2 3 8 2" xfId="18330" xr:uid="{292CBD00-3F59-4AA7-99B9-424093F6CECB}"/>
    <cellStyle name="40% - Accent2 2 3 9" xfId="9673" xr:uid="{D581BFEB-087A-491B-BFEA-A3B2596823AD}"/>
    <cellStyle name="40% - Accent2 2 4" xfId="627" xr:uid="{00000000-0005-0000-0000-00009F040000}"/>
    <cellStyle name="40% - Accent2 2 4 2" xfId="2898" xr:uid="{00000000-0005-0000-0000-0000A0040000}"/>
    <cellStyle name="40% - Accent2 2 4 2 2" xfId="7120" xr:uid="{00000000-0005-0000-0000-0000A1040000}"/>
    <cellStyle name="40% - Accent2 2 4 2 2 2" xfId="16446" xr:uid="{9950EFBF-6CFB-4EBA-A665-91D590453150}"/>
    <cellStyle name="40% - Accent2 2 4 2 3" xfId="12229" xr:uid="{3FE564B3-354D-46CF-B5AC-4E9EEEC0713B}"/>
    <cellStyle name="40% - Accent2 2 4 3" xfId="4975" xr:uid="{00000000-0005-0000-0000-0000A2040000}"/>
    <cellStyle name="40% - Accent2 2 4 3 2" xfId="14301" xr:uid="{870A5EFD-630E-4C7F-A307-AC062EA72BD5}"/>
    <cellStyle name="40% - Accent2 2 4 4" xfId="9223" xr:uid="{FA9890B4-781A-4E4C-81EE-BC7448559828}"/>
    <cellStyle name="40% - Accent2 2 4 4 2" xfId="18539" xr:uid="{D7194A25-67C1-4A60-B345-89BDD8662C66}"/>
    <cellStyle name="40% - Accent2 2 4 5" xfId="10084" xr:uid="{F85364FE-20EA-4274-B706-62571D79164A}"/>
    <cellStyle name="40% - Accent2 2 5" xfId="1080" xr:uid="{00000000-0005-0000-0000-0000A3040000}"/>
    <cellStyle name="40% - Accent2 2 5 2" xfId="3311" xr:uid="{00000000-0005-0000-0000-0000A4040000}"/>
    <cellStyle name="40% - Accent2 2 5 2 2" xfId="7533" xr:uid="{00000000-0005-0000-0000-0000A5040000}"/>
    <cellStyle name="40% - Accent2 2 5 2 2 2" xfId="16859" xr:uid="{4BCD7A22-D003-4D16-B1EA-00767108BD09}"/>
    <cellStyle name="40% - Accent2 2 5 2 3" xfId="12642" xr:uid="{CE328DD9-71F8-461D-A73E-28EF81840AF9}"/>
    <cellStyle name="40% - Accent2 2 5 3" xfId="5388" xr:uid="{00000000-0005-0000-0000-0000A6040000}"/>
    <cellStyle name="40% - Accent2 2 5 3 2" xfId="14714" xr:uid="{2DC473A5-B39A-4E16-A136-14A30A3F2BBD}"/>
    <cellStyle name="40% - Accent2 2 5 4" xfId="10497" xr:uid="{E20D62AC-4DF0-486D-83B9-A6EC479C9ECF}"/>
    <cellStyle name="40% - Accent2 2 6" xfId="1494" xr:uid="{00000000-0005-0000-0000-0000A7040000}"/>
    <cellStyle name="40% - Accent2 2 6 2" xfId="3724" xr:uid="{00000000-0005-0000-0000-0000A8040000}"/>
    <cellStyle name="40% - Accent2 2 6 2 2" xfId="7946" xr:uid="{00000000-0005-0000-0000-0000A9040000}"/>
    <cellStyle name="40% - Accent2 2 6 2 2 2" xfId="17272" xr:uid="{F99C4B9D-83DC-429D-950B-5B646B740243}"/>
    <cellStyle name="40% - Accent2 2 6 2 3" xfId="13055" xr:uid="{419AE03C-8E14-4DCE-BCD0-E5203B873D98}"/>
    <cellStyle name="40% - Accent2 2 6 3" xfId="5801" xr:uid="{00000000-0005-0000-0000-0000AA040000}"/>
    <cellStyle name="40% - Accent2 2 6 3 2" xfId="15127" xr:uid="{86424758-C86D-4E26-ADE3-0010DDB444E2}"/>
    <cellStyle name="40% - Accent2 2 6 4" xfId="10910" xr:uid="{D0F6D8B4-6236-45F0-B904-55BA179FF9FA}"/>
    <cellStyle name="40% - Accent2 2 7" xfId="1908" xr:uid="{00000000-0005-0000-0000-0000AB040000}"/>
    <cellStyle name="40% - Accent2 2 7 2" xfId="4137" xr:uid="{00000000-0005-0000-0000-0000AC040000}"/>
    <cellStyle name="40% - Accent2 2 7 2 2" xfId="8359" xr:uid="{00000000-0005-0000-0000-0000AD040000}"/>
    <cellStyle name="40% - Accent2 2 7 2 2 2" xfId="17685" xr:uid="{B126EDD9-4E22-4248-8033-EA6406CC45DF}"/>
    <cellStyle name="40% - Accent2 2 7 2 3" xfId="13468" xr:uid="{F2B012AA-2545-41C2-BB22-91FC72BF63A1}"/>
    <cellStyle name="40% - Accent2 2 7 3" xfId="6214" xr:uid="{00000000-0005-0000-0000-0000AE040000}"/>
    <cellStyle name="40% - Accent2 2 7 3 2" xfId="15540" xr:uid="{AB310D68-F4D6-4DE8-BE35-14A0F89979BB}"/>
    <cellStyle name="40% - Accent2 2 7 4" xfId="11323" xr:uid="{7F2BD4F2-F73A-40B5-A78E-D48D72765639}"/>
    <cellStyle name="40% - Accent2 2 8" xfId="2321" xr:uid="{00000000-0005-0000-0000-0000AF040000}"/>
    <cellStyle name="40% - Accent2 2 8 2" xfId="6627" xr:uid="{00000000-0005-0000-0000-0000B0040000}"/>
    <cellStyle name="40% - Accent2 2 8 2 2" xfId="15953" xr:uid="{C8FF6938-322D-49EA-AD10-3F63144D7354}"/>
    <cellStyle name="40% - Accent2 2 8 3" xfId="11736" xr:uid="{E89208DC-2036-4016-88C1-28FC09DE43D8}"/>
    <cellStyle name="40% - Accent2 2 9" xfId="4561" xr:uid="{00000000-0005-0000-0000-0000B1040000}"/>
    <cellStyle name="40% - Accent2 2 9 2" xfId="13887" xr:uid="{BB6BA898-F218-4E72-987B-05A0544ADF5E}"/>
    <cellStyle name="40% - Accent2 3" xfId="62" xr:uid="{00000000-0005-0000-0000-0000B2040000}"/>
    <cellStyle name="40% - Accent2 3 10" xfId="9674" xr:uid="{6C624E9C-3BD4-4E42-BB45-030D2EBCCAA1}"/>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2 2 2" xfId="16451" xr:uid="{37C2A315-37ED-4701-9653-9BBF7C85C531}"/>
    <cellStyle name="40% - Accent2 3 2 2 2 3" xfId="12234" xr:uid="{BF38D773-0C3C-4B2D-A3E4-C72BE40BDD63}"/>
    <cellStyle name="40% - Accent2 3 2 2 3" xfId="4980" xr:uid="{00000000-0005-0000-0000-0000B7040000}"/>
    <cellStyle name="40% - Accent2 3 2 2 3 2" xfId="14306" xr:uid="{DD95117C-D9BB-427F-A5D9-0E053D41232B}"/>
    <cellStyle name="40% - Accent2 3 2 2 4" xfId="9496" xr:uid="{700FA1AF-D943-4FDB-BFB1-F903AD1F731A}"/>
    <cellStyle name="40% - Accent2 3 2 2 4 2" xfId="18811" xr:uid="{C36FD4B7-BB65-4525-980C-F6D199573359}"/>
    <cellStyle name="40% - Accent2 3 2 2 5" xfId="10089" xr:uid="{B7266754-6684-4186-8248-B73E9FA8C8CA}"/>
    <cellStyle name="40% - Accent2 3 2 3" xfId="1085" xr:uid="{00000000-0005-0000-0000-0000B8040000}"/>
    <cellStyle name="40% - Accent2 3 2 3 2" xfId="3316" xr:uid="{00000000-0005-0000-0000-0000B9040000}"/>
    <cellStyle name="40% - Accent2 3 2 3 2 2" xfId="7538" xr:uid="{00000000-0005-0000-0000-0000BA040000}"/>
    <cellStyle name="40% - Accent2 3 2 3 2 2 2" xfId="16864" xr:uid="{51526A8D-A1F1-4E67-8A34-6339793F8D07}"/>
    <cellStyle name="40% - Accent2 3 2 3 2 3" xfId="12647" xr:uid="{2E35CE83-0596-472F-8573-C1671449F6D8}"/>
    <cellStyle name="40% - Accent2 3 2 3 3" xfId="5393" xr:uid="{00000000-0005-0000-0000-0000BB040000}"/>
    <cellStyle name="40% - Accent2 3 2 3 3 2" xfId="14719" xr:uid="{AC2D9955-83F1-403B-920F-21681E75D3A0}"/>
    <cellStyle name="40% - Accent2 3 2 3 4" xfId="10502" xr:uid="{C1C8ABE3-66AA-43F5-8DEC-206EEADC3CDE}"/>
    <cellStyle name="40% - Accent2 3 2 4" xfId="1499" xr:uid="{00000000-0005-0000-0000-0000BC040000}"/>
    <cellStyle name="40% - Accent2 3 2 4 2" xfId="3729" xr:uid="{00000000-0005-0000-0000-0000BD040000}"/>
    <cellStyle name="40% - Accent2 3 2 4 2 2" xfId="7951" xr:uid="{00000000-0005-0000-0000-0000BE040000}"/>
    <cellStyle name="40% - Accent2 3 2 4 2 2 2" xfId="17277" xr:uid="{60ACF36F-5572-4CF5-904B-335139547DFF}"/>
    <cellStyle name="40% - Accent2 3 2 4 2 3" xfId="13060" xr:uid="{C9614801-CE0D-4EEC-90B4-72169FE65817}"/>
    <cellStyle name="40% - Accent2 3 2 4 3" xfId="5806" xr:uid="{00000000-0005-0000-0000-0000BF040000}"/>
    <cellStyle name="40% - Accent2 3 2 4 3 2" xfId="15132" xr:uid="{31F35287-D2B9-4175-9B4A-21E1DD2D2DA3}"/>
    <cellStyle name="40% - Accent2 3 2 4 4" xfId="10915" xr:uid="{7948CE81-EBEF-4E9C-B481-491A402D3C2B}"/>
    <cellStyle name="40% - Accent2 3 2 5" xfId="1913" xr:uid="{00000000-0005-0000-0000-0000C0040000}"/>
    <cellStyle name="40% - Accent2 3 2 5 2" xfId="4142" xr:uid="{00000000-0005-0000-0000-0000C1040000}"/>
    <cellStyle name="40% - Accent2 3 2 5 2 2" xfId="8364" xr:uid="{00000000-0005-0000-0000-0000C2040000}"/>
    <cellStyle name="40% - Accent2 3 2 5 2 2 2" xfId="17690" xr:uid="{1F315604-B55F-4036-8F8F-957D0A421E67}"/>
    <cellStyle name="40% - Accent2 3 2 5 2 3" xfId="13473" xr:uid="{8C16D1F8-790E-45B6-993B-E39B7203ECAB}"/>
    <cellStyle name="40% - Accent2 3 2 5 3" xfId="6219" xr:uid="{00000000-0005-0000-0000-0000C3040000}"/>
    <cellStyle name="40% - Accent2 3 2 5 3 2" xfId="15545" xr:uid="{53A70613-3F71-4744-BDF0-B7A65C654430}"/>
    <cellStyle name="40% - Accent2 3 2 5 4" xfId="11328" xr:uid="{0B7F0041-8AE8-4EEA-907E-EC8ACA7445A5}"/>
    <cellStyle name="40% - Accent2 3 2 6" xfId="2326" xr:uid="{00000000-0005-0000-0000-0000C4040000}"/>
    <cellStyle name="40% - Accent2 3 2 6 2" xfId="6632" xr:uid="{00000000-0005-0000-0000-0000C5040000}"/>
    <cellStyle name="40% - Accent2 3 2 6 2 2" xfId="15958" xr:uid="{30446199-8F76-4987-89A8-B7FBD6104908}"/>
    <cellStyle name="40% - Accent2 3 2 6 3" xfId="11741" xr:uid="{03592173-2D8B-44F5-ABCA-7299373C4281}"/>
    <cellStyle name="40% - Accent2 3 2 7" xfId="4566" xr:uid="{00000000-0005-0000-0000-0000C6040000}"/>
    <cellStyle name="40% - Accent2 3 2 7 2" xfId="13892" xr:uid="{2162AFCF-4B90-4E6C-89C3-F7A148FE58B5}"/>
    <cellStyle name="40% - Accent2 3 2 8" xfId="9071" xr:uid="{B5463F05-11FC-4377-B380-DDB549C63AA9}"/>
    <cellStyle name="40% - Accent2 3 2 8 2" xfId="18395" xr:uid="{9B48D7DD-75EB-4A1C-83FD-0CB6B9390CA4}"/>
    <cellStyle name="40% - Accent2 3 2 9" xfId="9675" xr:uid="{9FBFA4A2-2F78-4F9B-8DF8-72F6C8F999C0}"/>
    <cellStyle name="40% - Accent2 3 3" xfId="631" xr:uid="{00000000-0005-0000-0000-0000C7040000}"/>
    <cellStyle name="40% - Accent2 3 3 2" xfId="2902" xr:uid="{00000000-0005-0000-0000-0000C8040000}"/>
    <cellStyle name="40% - Accent2 3 3 2 2" xfId="7124" xr:uid="{00000000-0005-0000-0000-0000C9040000}"/>
    <cellStyle name="40% - Accent2 3 3 2 2 2" xfId="16450" xr:uid="{EEFA8232-3D68-444C-AE01-EA290983A626}"/>
    <cellStyle name="40% - Accent2 3 3 2 3" xfId="12233" xr:uid="{B91CE24F-FC40-487F-A435-BB49BF24F208}"/>
    <cellStyle name="40% - Accent2 3 3 3" xfId="4979" xr:uid="{00000000-0005-0000-0000-0000CA040000}"/>
    <cellStyle name="40% - Accent2 3 3 3 2" xfId="14305" xr:uid="{611CE21B-50F6-42D5-BB3F-4DBE92D26400}"/>
    <cellStyle name="40% - Accent2 3 3 4" xfId="9289" xr:uid="{B234EB9F-4AFE-41A2-A17D-ABC1D0F80875}"/>
    <cellStyle name="40% - Accent2 3 3 4 2" xfId="18604" xr:uid="{A1323CB3-54E8-4373-8F43-9CD97ECA722B}"/>
    <cellStyle name="40% - Accent2 3 3 5" xfId="10088" xr:uid="{38763F82-076B-4D4E-9080-2DBF6C79AA1C}"/>
    <cellStyle name="40% - Accent2 3 4" xfId="1084" xr:uid="{00000000-0005-0000-0000-0000CB040000}"/>
    <cellStyle name="40% - Accent2 3 4 2" xfId="3315" xr:uid="{00000000-0005-0000-0000-0000CC040000}"/>
    <cellStyle name="40% - Accent2 3 4 2 2" xfId="7537" xr:uid="{00000000-0005-0000-0000-0000CD040000}"/>
    <cellStyle name="40% - Accent2 3 4 2 2 2" xfId="16863" xr:uid="{E71AEE0E-4AB9-4220-AD0E-C33C52795BFF}"/>
    <cellStyle name="40% - Accent2 3 4 2 3" xfId="12646" xr:uid="{6AF76285-290B-4358-9BD0-2833688D4184}"/>
    <cellStyle name="40% - Accent2 3 4 3" xfId="5392" xr:uid="{00000000-0005-0000-0000-0000CE040000}"/>
    <cellStyle name="40% - Accent2 3 4 3 2" xfId="14718" xr:uid="{CBC7EB46-E57C-4C0D-B9E3-58CAE68A45B7}"/>
    <cellStyle name="40% - Accent2 3 4 4" xfId="10501" xr:uid="{72D2C94D-8D97-4734-BA9B-605E5207C40E}"/>
    <cellStyle name="40% - Accent2 3 5" xfId="1498" xr:uid="{00000000-0005-0000-0000-0000CF040000}"/>
    <cellStyle name="40% - Accent2 3 5 2" xfId="3728" xr:uid="{00000000-0005-0000-0000-0000D0040000}"/>
    <cellStyle name="40% - Accent2 3 5 2 2" xfId="7950" xr:uid="{00000000-0005-0000-0000-0000D1040000}"/>
    <cellStyle name="40% - Accent2 3 5 2 2 2" xfId="17276" xr:uid="{F5C2535F-4DCB-4A4F-8EC7-C828E302155D}"/>
    <cellStyle name="40% - Accent2 3 5 2 3" xfId="13059" xr:uid="{C5B94E48-B312-407F-82D7-FB91F82B969A}"/>
    <cellStyle name="40% - Accent2 3 5 3" xfId="5805" xr:uid="{00000000-0005-0000-0000-0000D2040000}"/>
    <cellStyle name="40% - Accent2 3 5 3 2" xfId="15131" xr:uid="{E0EF97B9-3D60-4EC3-A4FB-3DA0BD7AE88D}"/>
    <cellStyle name="40% - Accent2 3 5 4" xfId="10914" xr:uid="{35570244-D24A-45F0-8AD3-2D0692B09BDF}"/>
    <cellStyle name="40% - Accent2 3 6" xfId="1912" xr:uid="{00000000-0005-0000-0000-0000D3040000}"/>
    <cellStyle name="40% - Accent2 3 6 2" xfId="4141" xr:uid="{00000000-0005-0000-0000-0000D4040000}"/>
    <cellStyle name="40% - Accent2 3 6 2 2" xfId="8363" xr:uid="{00000000-0005-0000-0000-0000D5040000}"/>
    <cellStyle name="40% - Accent2 3 6 2 2 2" xfId="17689" xr:uid="{49FBD1F6-567C-4963-ADE1-C339A57FD7A5}"/>
    <cellStyle name="40% - Accent2 3 6 2 3" xfId="13472" xr:uid="{9A67C551-7210-4AAC-A31A-B5305CACF7B2}"/>
    <cellStyle name="40% - Accent2 3 6 3" xfId="6218" xr:uid="{00000000-0005-0000-0000-0000D6040000}"/>
    <cellStyle name="40% - Accent2 3 6 3 2" xfId="15544" xr:uid="{1AA90897-6A1A-4A3E-B682-4160288A5BD2}"/>
    <cellStyle name="40% - Accent2 3 6 4" xfId="11327" xr:uid="{0AF69FC1-FAE4-452C-87CB-00BC244EA690}"/>
    <cellStyle name="40% - Accent2 3 7" xfId="2325" xr:uid="{00000000-0005-0000-0000-0000D7040000}"/>
    <cellStyle name="40% - Accent2 3 7 2" xfId="6631" xr:uid="{00000000-0005-0000-0000-0000D8040000}"/>
    <cellStyle name="40% - Accent2 3 7 2 2" xfId="15957" xr:uid="{25151A73-298E-4CDC-9202-0702B5A9A649}"/>
    <cellStyle name="40% - Accent2 3 7 3" xfId="11740" xr:uid="{196B5998-C4F4-4660-A780-CBB8BC904C46}"/>
    <cellStyle name="40% - Accent2 3 8" xfId="4565" xr:uid="{00000000-0005-0000-0000-0000D9040000}"/>
    <cellStyle name="40% - Accent2 3 8 2" xfId="13891" xr:uid="{96589BEE-C761-4269-AEF5-99F9B7603DC5}"/>
    <cellStyle name="40% - Accent2 3 9" xfId="8864" xr:uid="{311EF031-8CA9-4ACC-8705-6D408E1B50DB}"/>
    <cellStyle name="40% - Accent2 3 9 2" xfId="18188" xr:uid="{C4C100B7-EC55-4FB8-B202-270B629B07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2 2 2" xfId="16452" xr:uid="{92732EAD-E545-4437-95CF-35C888167657}"/>
    <cellStyle name="40% - Accent2 4 2 2 3" xfId="12235" xr:uid="{CED866DB-4E06-4234-AF0D-62BA0DF9BB05}"/>
    <cellStyle name="40% - Accent2 4 2 3" xfId="4981" xr:uid="{00000000-0005-0000-0000-0000DE040000}"/>
    <cellStyle name="40% - Accent2 4 2 3 2" xfId="14307" xr:uid="{BF3EE8D5-34FB-436E-9C1C-9FF7568DCFF7}"/>
    <cellStyle name="40% - Accent2 4 2 4" xfId="9375" xr:uid="{E0F8B4F7-419E-40A5-89E1-F3F0DF6ADFF8}"/>
    <cellStyle name="40% - Accent2 4 2 4 2" xfId="18690" xr:uid="{93B156A5-CE64-45CD-88C3-9688FBAC3F57}"/>
    <cellStyle name="40% - Accent2 4 2 5" xfId="10090" xr:uid="{78762906-E773-478A-A98D-720D9C3D0174}"/>
    <cellStyle name="40% - Accent2 4 3" xfId="1086" xr:uid="{00000000-0005-0000-0000-0000DF040000}"/>
    <cellStyle name="40% - Accent2 4 3 2" xfId="3317" xr:uid="{00000000-0005-0000-0000-0000E0040000}"/>
    <cellStyle name="40% - Accent2 4 3 2 2" xfId="7539" xr:uid="{00000000-0005-0000-0000-0000E1040000}"/>
    <cellStyle name="40% - Accent2 4 3 2 2 2" xfId="16865" xr:uid="{78E2802B-277C-4B77-A959-AD083013A718}"/>
    <cellStyle name="40% - Accent2 4 3 2 3" xfId="12648" xr:uid="{748CFD5E-6562-418C-A9D4-67D301C3B854}"/>
    <cellStyle name="40% - Accent2 4 3 3" xfId="5394" xr:uid="{00000000-0005-0000-0000-0000E2040000}"/>
    <cellStyle name="40% - Accent2 4 3 3 2" xfId="14720" xr:uid="{ECCA5B25-E7EB-44DF-B56F-DDA732AF84EB}"/>
    <cellStyle name="40% - Accent2 4 3 4" xfId="10503" xr:uid="{CBAD1FF5-B04B-4043-BAA0-F05C602E89BE}"/>
    <cellStyle name="40% - Accent2 4 4" xfId="1500" xr:uid="{00000000-0005-0000-0000-0000E3040000}"/>
    <cellStyle name="40% - Accent2 4 4 2" xfId="3730" xr:uid="{00000000-0005-0000-0000-0000E4040000}"/>
    <cellStyle name="40% - Accent2 4 4 2 2" xfId="7952" xr:uid="{00000000-0005-0000-0000-0000E5040000}"/>
    <cellStyle name="40% - Accent2 4 4 2 2 2" xfId="17278" xr:uid="{0531D844-E0A3-46B0-B693-ED347FC30776}"/>
    <cellStyle name="40% - Accent2 4 4 2 3" xfId="13061" xr:uid="{37398D51-100A-4486-875B-88EB3E62A57D}"/>
    <cellStyle name="40% - Accent2 4 4 3" xfId="5807" xr:uid="{00000000-0005-0000-0000-0000E6040000}"/>
    <cellStyle name="40% - Accent2 4 4 3 2" xfId="15133" xr:uid="{91896615-9949-404E-AAB5-1F01F0B53D84}"/>
    <cellStyle name="40% - Accent2 4 4 4" xfId="10916" xr:uid="{CBB5721D-EC17-4EDD-B97B-3397A03DBC47}"/>
    <cellStyle name="40% - Accent2 4 5" xfId="1914" xr:uid="{00000000-0005-0000-0000-0000E7040000}"/>
    <cellStyle name="40% - Accent2 4 5 2" xfId="4143" xr:uid="{00000000-0005-0000-0000-0000E8040000}"/>
    <cellStyle name="40% - Accent2 4 5 2 2" xfId="8365" xr:uid="{00000000-0005-0000-0000-0000E9040000}"/>
    <cellStyle name="40% - Accent2 4 5 2 2 2" xfId="17691" xr:uid="{AC30CAD3-67AB-49C0-A734-9AEBC841BC6E}"/>
    <cellStyle name="40% - Accent2 4 5 2 3" xfId="13474" xr:uid="{83577C53-6B12-4196-9AD7-3E914121BD13}"/>
    <cellStyle name="40% - Accent2 4 5 3" xfId="6220" xr:uid="{00000000-0005-0000-0000-0000EA040000}"/>
    <cellStyle name="40% - Accent2 4 5 3 2" xfId="15546" xr:uid="{9001D6A3-593D-42BA-85C2-14E41341580B}"/>
    <cellStyle name="40% - Accent2 4 5 4" xfId="11329" xr:uid="{C0B5EB7A-0DBC-487E-AB0D-B798E09D1064}"/>
    <cellStyle name="40% - Accent2 4 6" xfId="2327" xr:uid="{00000000-0005-0000-0000-0000EB040000}"/>
    <cellStyle name="40% - Accent2 4 6 2" xfId="6633" xr:uid="{00000000-0005-0000-0000-0000EC040000}"/>
    <cellStyle name="40% - Accent2 4 6 2 2" xfId="15959" xr:uid="{070D2CD7-E44B-4732-B0FE-EAC2F39CE419}"/>
    <cellStyle name="40% - Accent2 4 6 3" xfId="11742" xr:uid="{8E0AF28A-B9EE-480B-8BA0-B7BB87290721}"/>
    <cellStyle name="40% - Accent2 4 7" xfId="4567" xr:uid="{00000000-0005-0000-0000-0000ED040000}"/>
    <cellStyle name="40% - Accent2 4 7 2" xfId="13893" xr:uid="{6A8DFE1D-B3DE-4A07-AC8A-33ED8DFDD0A6}"/>
    <cellStyle name="40% - Accent2 4 8" xfId="8950" xr:uid="{02FCA414-0598-4779-8636-7B176A3552C0}"/>
    <cellStyle name="40% - Accent2 4 8 2" xfId="18274" xr:uid="{D5E4092A-6DD3-4B27-BEA5-980BDC8D4F18}"/>
    <cellStyle name="40% - Accent2 4 9" xfId="9676" xr:uid="{96FCCAD0-069D-4F58-BF18-2877C8C7AD44}"/>
    <cellStyle name="40% - Accent2 5" xfId="626" xr:uid="{00000000-0005-0000-0000-0000EE040000}"/>
    <cellStyle name="40% - Accent2 5 2" xfId="2897" xr:uid="{00000000-0005-0000-0000-0000EF040000}"/>
    <cellStyle name="40% - Accent2 5 2 2" xfId="7119" xr:uid="{00000000-0005-0000-0000-0000F0040000}"/>
    <cellStyle name="40% - Accent2 5 2 2 2" xfId="16445" xr:uid="{5C28D34E-DD0B-446F-8883-5E3B3CE2D1BE}"/>
    <cellStyle name="40% - Accent2 5 2 3" xfId="12228" xr:uid="{F1317798-3108-4FEE-919D-8E2196D66726}"/>
    <cellStyle name="40% - Accent2 5 3" xfId="4974" xr:uid="{00000000-0005-0000-0000-0000F1040000}"/>
    <cellStyle name="40% - Accent2 5 3 2" xfId="14300" xr:uid="{903A8287-D614-4B60-99D4-3B0EAE577618}"/>
    <cellStyle name="40% - Accent2 5 4" xfId="9183" xr:uid="{071EDB8E-9FD1-4063-BCEF-70B734E5ECF1}"/>
    <cellStyle name="40% - Accent2 5 4 2" xfId="18501" xr:uid="{98E40085-F2F8-43BD-8209-F0C021500416}"/>
    <cellStyle name="40% - Accent2 5 5" xfId="10083" xr:uid="{8DE96943-68A5-4932-BA35-BA0724E1F4C6}"/>
    <cellStyle name="40% - Accent2 6" xfId="1079" xr:uid="{00000000-0005-0000-0000-0000F2040000}"/>
    <cellStyle name="40% - Accent2 6 2" xfId="3310" xr:uid="{00000000-0005-0000-0000-0000F3040000}"/>
    <cellStyle name="40% - Accent2 6 2 2" xfId="7532" xr:uid="{00000000-0005-0000-0000-0000F4040000}"/>
    <cellStyle name="40% - Accent2 6 2 2 2" xfId="16858" xr:uid="{1608E693-52C0-4E0A-B37D-16E36CEDEAB4}"/>
    <cellStyle name="40% - Accent2 6 2 3" xfId="12641" xr:uid="{0855FADF-4246-4229-BC6F-10403B843864}"/>
    <cellStyle name="40% - Accent2 6 3" xfId="5387" xr:uid="{00000000-0005-0000-0000-0000F5040000}"/>
    <cellStyle name="40% - Accent2 6 3 2" xfId="14713" xr:uid="{D47026CE-63DD-45C9-B550-3FAFC49EAC69}"/>
    <cellStyle name="40% - Accent2 6 4" xfId="10496" xr:uid="{2BDD7EBF-DEC5-43D6-AA67-9621E4DE9004}"/>
    <cellStyle name="40% - Accent2 7" xfId="1493" xr:uid="{00000000-0005-0000-0000-0000F6040000}"/>
    <cellStyle name="40% - Accent2 7 2" xfId="3723" xr:uid="{00000000-0005-0000-0000-0000F7040000}"/>
    <cellStyle name="40% - Accent2 7 2 2" xfId="7945" xr:uid="{00000000-0005-0000-0000-0000F8040000}"/>
    <cellStyle name="40% - Accent2 7 2 2 2" xfId="17271" xr:uid="{A3BC16E2-D164-497C-8BA8-360DAC1FC8CB}"/>
    <cellStyle name="40% - Accent2 7 2 3" xfId="13054" xr:uid="{A9126FB8-1849-478C-9A96-3FE7CB3F8BE6}"/>
    <cellStyle name="40% - Accent2 7 3" xfId="5800" xr:uid="{00000000-0005-0000-0000-0000F9040000}"/>
    <cellStyle name="40% - Accent2 7 3 2" xfId="15126" xr:uid="{B74566D0-0F84-4489-B202-5FE8919FD49C}"/>
    <cellStyle name="40% - Accent2 7 4" xfId="10909" xr:uid="{CE03377F-952B-41FA-8A51-A492919D1CA4}"/>
    <cellStyle name="40% - Accent2 8" xfId="1907" xr:uid="{00000000-0005-0000-0000-0000FA040000}"/>
    <cellStyle name="40% - Accent2 8 2" xfId="4136" xr:uid="{00000000-0005-0000-0000-0000FB040000}"/>
    <cellStyle name="40% - Accent2 8 2 2" xfId="8358" xr:uid="{00000000-0005-0000-0000-0000FC040000}"/>
    <cellStyle name="40% - Accent2 8 2 2 2" xfId="17684" xr:uid="{EBE91FFA-D08A-4EE5-8129-48DF9B1DBB26}"/>
    <cellStyle name="40% - Accent2 8 2 3" xfId="13467" xr:uid="{9DC2E94A-91A8-488E-9F9B-2A8823DF0C24}"/>
    <cellStyle name="40% - Accent2 8 3" xfId="6213" xr:uid="{00000000-0005-0000-0000-0000FD040000}"/>
    <cellStyle name="40% - Accent2 8 3 2" xfId="15539" xr:uid="{47DBDF72-4E1E-4176-A8F9-5A4515E5971C}"/>
    <cellStyle name="40% - Accent2 8 4" xfId="11322" xr:uid="{94538954-B82C-4C41-AD2D-73C643181901}"/>
    <cellStyle name="40% - Accent2 9" xfId="2320" xr:uid="{00000000-0005-0000-0000-0000FE040000}"/>
    <cellStyle name="40% - Accent2 9 2" xfId="6626" xr:uid="{00000000-0005-0000-0000-0000FF040000}"/>
    <cellStyle name="40% - Accent2 9 2 2" xfId="15952" xr:uid="{42FF0DA8-48AE-4C40-8CBC-0EC6649CE832}"/>
    <cellStyle name="40% - Accent2 9 3" xfId="11735" xr:uid="{494EF317-F74B-4715-98F3-B27F7B0AA4A6}"/>
    <cellStyle name="40% - Accent3" xfId="65" builtinId="39" customBuiltin="1"/>
    <cellStyle name="40% - Accent3 10" xfId="4568" xr:uid="{00000000-0005-0000-0000-000001050000}"/>
    <cellStyle name="40% - Accent3 10 2" xfId="13894" xr:uid="{C13DAB43-5EB8-4E10-A94D-A21E50532637}"/>
    <cellStyle name="40% - Accent3 11" xfId="8763" xr:uid="{CEFBFA85-5B68-4AEB-BF0D-8E604938B05F}"/>
    <cellStyle name="40% - Accent3 11 2" xfId="18087" xr:uid="{07CA23A3-ACBB-4D3B-A05F-52AB069513AC}"/>
    <cellStyle name="40% - Accent3 12" xfId="9677" xr:uid="{EE394DE8-3E13-4DE9-9E16-C6E07568B427}"/>
    <cellStyle name="40% - Accent3 2" xfId="66" xr:uid="{00000000-0005-0000-0000-000002050000}"/>
    <cellStyle name="40% - Accent3 2 10" xfId="8800" xr:uid="{00FF2AAD-7D96-45B5-8981-0BB923A3505B}"/>
    <cellStyle name="40% - Accent3 2 10 2" xfId="18124" xr:uid="{B71A270E-B4ED-4B46-909F-E431A4E2C16C}"/>
    <cellStyle name="40% - Accent3 2 11" xfId="9678" xr:uid="{2D39AEBA-C38D-46D0-B023-7908216925F0}"/>
    <cellStyle name="40% - Accent3 2 2" xfId="67" xr:uid="{00000000-0005-0000-0000-000003050000}"/>
    <cellStyle name="40% - Accent3 2 2 10" xfId="9679" xr:uid="{D2B4DE67-D939-4990-9C84-2AABA2B4D4B4}"/>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2 2 2" xfId="16456" xr:uid="{D2CD5A7E-507C-449D-A5E3-E6AA9C5B13BB}"/>
    <cellStyle name="40% - Accent3 2 2 2 2 2 3" xfId="12239" xr:uid="{EFD58CEC-2EEB-4E7F-AF38-EE91B6AC3A68}"/>
    <cellStyle name="40% - Accent3 2 2 2 2 3" xfId="4985" xr:uid="{00000000-0005-0000-0000-000008050000}"/>
    <cellStyle name="40% - Accent3 2 2 2 2 3 2" xfId="14311" xr:uid="{1514610A-E06C-4F7B-8FB3-CD11500C4FDB}"/>
    <cellStyle name="40% - Accent3 2 2 2 2 4" xfId="9535" xr:uid="{3AC66435-D4C7-42EF-A799-3DC81A57BDF4}"/>
    <cellStyle name="40% - Accent3 2 2 2 2 4 2" xfId="18850" xr:uid="{A58EADE5-BC68-4495-A656-515A4908DB3D}"/>
    <cellStyle name="40% - Accent3 2 2 2 2 5" xfId="10094" xr:uid="{E784F427-ED79-4083-B4E6-FF24B5EB463C}"/>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2 2 2" xfId="16869" xr:uid="{CB7C91CE-A5C7-4F71-A1D2-B1569F532EEE}"/>
    <cellStyle name="40% - Accent3 2 2 2 3 2 3" xfId="12652" xr:uid="{5C911F97-3374-4C96-B5CA-5D03065F9488}"/>
    <cellStyle name="40% - Accent3 2 2 2 3 3" xfId="5398" xr:uid="{00000000-0005-0000-0000-00000C050000}"/>
    <cellStyle name="40% - Accent3 2 2 2 3 3 2" xfId="14724" xr:uid="{99B1335C-6272-4CBA-AA7A-1D63C03ACECE}"/>
    <cellStyle name="40% - Accent3 2 2 2 3 4" xfId="10507" xr:uid="{06087140-75F2-4063-B6BD-2D47B95EDC51}"/>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2 2 2" xfId="17282" xr:uid="{4ADB1408-E2CE-40D9-A352-FC07A7FD8C97}"/>
    <cellStyle name="40% - Accent3 2 2 2 4 2 3" xfId="13065" xr:uid="{8D112AF1-7BEC-4EC3-B72C-3146C562BAAA}"/>
    <cellStyle name="40% - Accent3 2 2 2 4 3" xfId="5811" xr:uid="{00000000-0005-0000-0000-000010050000}"/>
    <cellStyle name="40% - Accent3 2 2 2 4 3 2" xfId="15137" xr:uid="{C2BF4FD0-5924-42B7-B8A6-B9DDBAC493CD}"/>
    <cellStyle name="40% - Accent3 2 2 2 4 4" xfId="10920" xr:uid="{6E0273A4-37B6-412C-8F5D-E9BCB2B01E4B}"/>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2 2 2" xfId="17695" xr:uid="{FE67F2BA-F426-4D59-BA13-FAFB989C8CF4}"/>
    <cellStyle name="40% - Accent3 2 2 2 5 2 3" xfId="13478" xr:uid="{9AD0B132-0561-4FC1-B922-9A1FF2BFBC20}"/>
    <cellStyle name="40% - Accent3 2 2 2 5 3" xfId="6224" xr:uid="{00000000-0005-0000-0000-000014050000}"/>
    <cellStyle name="40% - Accent3 2 2 2 5 3 2" xfId="15550" xr:uid="{E19DB7EE-8F62-47A0-9BA7-6DF29885BA94}"/>
    <cellStyle name="40% - Accent3 2 2 2 5 4" xfId="11333" xr:uid="{887E567F-685E-49A5-AD5B-B6E4EAA93C07}"/>
    <cellStyle name="40% - Accent3 2 2 2 6" xfId="2331" xr:uid="{00000000-0005-0000-0000-000015050000}"/>
    <cellStyle name="40% - Accent3 2 2 2 6 2" xfId="6637" xr:uid="{00000000-0005-0000-0000-000016050000}"/>
    <cellStyle name="40% - Accent3 2 2 2 6 2 2" xfId="15963" xr:uid="{C24FFD71-C999-441A-B0FD-430F3EC060F5}"/>
    <cellStyle name="40% - Accent3 2 2 2 6 3" xfId="11746" xr:uid="{E918D3F7-1E1E-4485-BF84-28F4C82B3246}"/>
    <cellStyle name="40% - Accent3 2 2 2 7" xfId="4571" xr:uid="{00000000-0005-0000-0000-000017050000}"/>
    <cellStyle name="40% - Accent3 2 2 2 7 2" xfId="13897" xr:uid="{2D54FA43-E4E2-4521-BC24-35F212C69C02}"/>
    <cellStyle name="40% - Accent3 2 2 2 8" xfId="9110" xr:uid="{E41CBEF9-86F8-44B9-895F-532A7BDC9A2A}"/>
    <cellStyle name="40% - Accent3 2 2 2 8 2" xfId="18434" xr:uid="{9F5F9CC0-26DC-4E73-937A-2FB7346B5086}"/>
    <cellStyle name="40% - Accent3 2 2 2 9" xfId="9680" xr:uid="{F2879ED7-04AE-4A5B-953E-5443A840EE76}"/>
    <cellStyle name="40% - Accent3 2 2 3" xfId="636" xr:uid="{00000000-0005-0000-0000-000018050000}"/>
    <cellStyle name="40% - Accent3 2 2 3 2" xfId="2907" xr:uid="{00000000-0005-0000-0000-000019050000}"/>
    <cellStyle name="40% - Accent3 2 2 3 2 2" xfId="7129" xr:uid="{00000000-0005-0000-0000-00001A050000}"/>
    <cellStyle name="40% - Accent3 2 2 3 2 2 2" xfId="16455" xr:uid="{0EE4545B-97DF-4708-BE83-74330CF5E582}"/>
    <cellStyle name="40% - Accent3 2 2 3 2 3" xfId="12238" xr:uid="{36759DD4-8A9B-413C-B368-BF11EDAE0523}"/>
    <cellStyle name="40% - Accent3 2 2 3 3" xfId="4984" xr:uid="{00000000-0005-0000-0000-00001B050000}"/>
    <cellStyle name="40% - Accent3 2 2 3 3 2" xfId="14310" xr:uid="{0CA1DC6A-EC63-4611-A928-8D958AD4D5EC}"/>
    <cellStyle name="40% - Accent3 2 2 3 4" xfId="9328" xr:uid="{1DAEB9B9-01CE-426D-A8F1-CE08999D7264}"/>
    <cellStyle name="40% - Accent3 2 2 3 4 2" xfId="18643" xr:uid="{22C21BAF-B04C-4DD2-B594-8E16767385E9}"/>
    <cellStyle name="40% - Accent3 2 2 3 5" xfId="10093" xr:uid="{13B19281-F1D6-49BA-80B8-087D77729BAA}"/>
    <cellStyle name="40% - Accent3 2 2 4" xfId="1089" xr:uid="{00000000-0005-0000-0000-00001C050000}"/>
    <cellStyle name="40% - Accent3 2 2 4 2" xfId="3320" xr:uid="{00000000-0005-0000-0000-00001D050000}"/>
    <cellStyle name="40% - Accent3 2 2 4 2 2" xfId="7542" xr:uid="{00000000-0005-0000-0000-00001E050000}"/>
    <cellStyle name="40% - Accent3 2 2 4 2 2 2" xfId="16868" xr:uid="{A48A436A-D612-4303-904D-C9265D121336}"/>
    <cellStyle name="40% - Accent3 2 2 4 2 3" xfId="12651" xr:uid="{D3DE67FD-7123-47C8-96E1-8700D916728B}"/>
    <cellStyle name="40% - Accent3 2 2 4 3" xfId="5397" xr:uid="{00000000-0005-0000-0000-00001F050000}"/>
    <cellStyle name="40% - Accent3 2 2 4 3 2" xfId="14723" xr:uid="{7787207C-DDC9-4CA4-8119-9E5A29D6ACF5}"/>
    <cellStyle name="40% - Accent3 2 2 4 4" xfId="10506" xr:uid="{4E5CDD7B-29FD-4E7C-A240-6CD57F3ADDA9}"/>
    <cellStyle name="40% - Accent3 2 2 5" xfId="1503" xr:uid="{00000000-0005-0000-0000-000020050000}"/>
    <cellStyle name="40% - Accent3 2 2 5 2" xfId="3733" xr:uid="{00000000-0005-0000-0000-000021050000}"/>
    <cellStyle name="40% - Accent3 2 2 5 2 2" xfId="7955" xr:uid="{00000000-0005-0000-0000-000022050000}"/>
    <cellStyle name="40% - Accent3 2 2 5 2 2 2" xfId="17281" xr:uid="{F1700944-004F-428B-A3B7-CA5B7190070D}"/>
    <cellStyle name="40% - Accent3 2 2 5 2 3" xfId="13064" xr:uid="{B2AB778A-3207-458B-B09E-6A2DC903DE42}"/>
    <cellStyle name="40% - Accent3 2 2 5 3" xfId="5810" xr:uid="{00000000-0005-0000-0000-000023050000}"/>
    <cellStyle name="40% - Accent3 2 2 5 3 2" xfId="15136" xr:uid="{D267BE0C-A91D-4480-8479-1632A46F5554}"/>
    <cellStyle name="40% - Accent3 2 2 5 4" xfId="10919" xr:uid="{2AF7C5C5-94C4-4059-A5C3-D59437F0A301}"/>
    <cellStyle name="40% - Accent3 2 2 6" xfId="1917" xr:uid="{00000000-0005-0000-0000-000024050000}"/>
    <cellStyle name="40% - Accent3 2 2 6 2" xfId="4146" xr:uid="{00000000-0005-0000-0000-000025050000}"/>
    <cellStyle name="40% - Accent3 2 2 6 2 2" xfId="8368" xr:uid="{00000000-0005-0000-0000-000026050000}"/>
    <cellStyle name="40% - Accent3 2 2 6 2 2 2" xfId="17694" xr:uid="{F14886B6-520F-4048-BD1E-ABDB274E64A6}"/>
    <cellStyle name="40% - Accent3 2 2 6 2 3" xfId="13477" xr:uid="{818D4A49-7D23-4EFE-B2F1-D8F9D6CAAD4C}"/>
    <cellStyle name="40% - Accent3 2 2 6 3" xfId="6223" xr:uid="{00000000-0005-0000-0000-000027050000}"/>
    <cellStyle name="40% - Accent3 2 2 6 3 2" xfId="15549" xr:uid="{9D87C9DD-DFFF-4432-83D1-6B61B6D582A6}"/>
    <cellStyle name="40% - Accent3 2 2 6 4" xfId="11332" xr:uid="{8E318A18-9E17-4FC1-ABEA-2DF8BD9061A8}"/>
    <cellStyle name="40% - Accent3 2 2 7" xfId="2330" xr:uid="{00000000-0005-0000-0000-000028050000}"/>
    <cellStyle name="40% - Accent3 2 2 7 2" xfId="6636" xr:uid="{00000000-0005-0000-0000-000029050000}"/>
    <cellStyle name="40% - Accent3 2 2 7 2 2" xfId="15962" xr:uid="{C1A186EB-C779-41B0-8783-702D4E07A4A9}"/>
    <cellStyle name="40% - Accent3 2 2 7 3" xfId="11745" xr:uid="{6468A657-5326-4826-8AE0-D6849C31754A}"/>
    <cellStyle name="40% - Accent3 2 2 8" xfId="4570" xr:uid="{00000000-0005-0000-0000-00002A050000}"/>
    <cellStyle name="40% - Accent3 2 2 8 2" xfId="13896" xr:uid="{A2EC4DCE-2A4A-4030-A18F-F2597CB3F436}"/>
    <cellStyle name="40% - Accent3 2 2 9" xfId="8903" xr:uid="{D9C85917-26AE-466C-8B98-905BCDA9E329}"/>
    <cellStyle name="40% - Accent3 2 2 9 2" xfId="18227" xr:uid="{FCDB54C4-75E7-4ED5-9562-F5F67ADC6D63}"/>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2 2 2" xfId="16457" xr:uid="{CECD4799-0CD8-43ED-B0F8-3AEE4CBA8544}"/>
    <cellStyle name="40% - Accent3 2 3 2 2 3" xfId="12240" xr:uid="{D35D2048-4443-4754-B192-DCD18E6DFADB}"/>
    <cellStyle name="40% - Accent3 2 3 2 3" xfId="4986" xr:uid="{00000000-0005-0000-0000-00002F050000}"/>
    <cellStyle name="40% - Accent3 2 3 2 3 2" xfId="14312" xr:uid="{51381479-702C-4C90-8651-9F8E4BCAC5BC}"/>
    <cellStyle name="40% - Accent3 2 3 2 4" xfId="9432" xr:uid="{54D6848B-0200-4F42-820D-262A8F9A2C0F}"/>
    <cellStyle name="40% - Accent3 2 3 2 4 2" xfId="18747" xr:uid="{F86EB01E-4009-454C-AA56-9FB8A815453D}"/>
    <cellStyle name="40% - Accent3 2 3 2 5" xfId="10095" xr:uid="{3C9607AB-67DA-4C1A-8A0E-02AAC30C21EE}"/>
    <cellStyle name="40% - Accent3 2 3 3" xfId="1091" xr:uid="{00000000-0005-0000-0000-000030050000}"/>
    <cellStyle name="40% - Accent3 2 3 3 2" xfId="3322" xr:uid="{00000000-0005-0000-0000-000031050000}"/>
    <cellStyle name="40% - Accent3 2 3 3 2 2" xfId="7544" xr:uid="{00000000-0005-0000-0000-000032050000}"/>
    <cellStyle name="40% - Accent3 2 3 3 2 2 2" xfId="16870" xr:uid="{1141806C-D2F9-47AD-BC49-97C7CF83D4DB}"/>
    <cellStyle name="40% - Accent3 2 3 3 2 3" xfId="12653" xr:uid="{E526C91A-9BC3-4F12-8A51-7169D079CBC5}"/>
    <cellStyle name="40% - Accent3 2 3 3 3" xfId="5399" xr:uid="{00000000-0005-0000-0000-000033050000}"/>
    <cellStyle name="40% - Accent3 2 3 3 3 2" xfId="14725" xr:uid="{519A2EE6-2F63-40D5-911C-9CB4C0A56177}"/>
    <cellStyle name="40% - Accent3 2 3 3 4" xfId="10508" xr:uid="{3258A5CC-FE4D-4C58-8811-649896DA466D}"/>
    <cellStyle name="40% - Accent3 2 3 4" xfId="1505" xr:uid="{00000000-0005-0000-0000-000034050000}"/>
    <cellStyle name="40% - Accent3 2 3 4 2" xfId="3735" xr:uid="{00000000-0005-0000-0000-000035050000}"/>
    <cellStyle name="40% - Accent3 2 3 4 2 2" xfId="7957" xr:uid="{00000000-0005-0000-0000-000036050000}"/>
    <cellStyle name="40% - Accent3 2 3 4 2 2 2" xfId="17283" xr:uid="{5F26B688-9283-4518-B9AF-BF91DD87B04C}"/>
    <cellStyle name="40% - Accent3 2 3 4 2 3" xfId="13066" xr:uid="{4380DA7C-0A75-4577-A3F5-4A57E68B1C8E}"/>
    <cellStyle name="40% - Accent3 2 3 4 3" xfId="5812" xr:uid="{00000000-0005-0000-0000-000037050000}"/>
    <cellStyle name="40% - Accent3 2 3 4 3 2" xfId="15138" xr:uid="{C2A822B5-52CB-4F97-A7D5-6D941B0B7587}"/>
    <cellStyle name="40% - Accent3 2 3 4 4" xfId="10921" xr:uid="{5D96EAB9-813C-48DF-9ADD-FF6784D831F3}"/>
    <cellStyle name="40% - Accent3 2 3 5" xfId="1919" xr:uid="{00000000-0005-0000-0000-000038050000}"/>
    <cellStyle name="40% - Accent3 2 3 5 2" xfId="4148" xr:uid="{00000000-0005-0000-0000-000039050000}"/>
    <cellStyle name="40% - Accent3 2 3 5 2 2" xfId="8370" xr:uid="{00000000-0005-0000-0000-00003A050000}"/>
    <cellStyle name="40% - Accent3 2 3 5 2 2 2" xfId="17696" xr:uid="{8C187A06-47FA-4295-9D8E-BFA4F7030122}"/>
    <cellStyle name="40% - Accent3 2 3 5 2 3" xfId="13479" xr:uid="{EBC5D29E-2992-485E-8EBF-DECC319CAAF9}"/>
    <cellStyle name="40% - Accent3 2 3 5 3" xfId="6225" xr:uid="{00000000-0005-0000-0000-00003B050000}"/>
    <cellStyle name="40% - Accent3 2 3 5 3 2" xfId="15551" xr:uid="{C4F46039-C9D1-42C8-90DD-45BCF1B51D55}"/>
    <cellStyle name="40% - Accent3 2 3 5 4" xfId="11334" xr:uid="{1192C32A-225F-437D-BD71-76614170370F}"/>
    <cellStyle name="40% - Accent3 2 3 6" xfId="2332" xr:uid="{00000000-0005-0000-0000-00003C050000}"/>
    <cellStyle name="40% - Accent3 2 3 6 2" xfId="6638" xr:uid="{00000000-0005-0000-0000-00003D050000}"/>
    <cellStyle name="40% - Accent3 2 3 6 2 2" xfId="15964" xr:uid="{94EB4AE3-9FA4-482F-BE8A-324C5F7D3B53}"/>
    <cellStyle name="40% - Accent3 2 3 6 3" xfId="11747" xr:uid="{5D59612C-0EF7-414D-8F04-8D321E5247C5}"/>
    <cellStyle name="40% - Accent3 2 3 7" xfId="4572" xr:uid="{00000000-0005-0000-0000-00003E050000}"/>
    <cellStyle name="40% - Accent3 2 3 7 2" xfId="13898" xr:uid="{164858DC-679C-4AB5-816C-4B2587A53193}"/>
    <cellStyle name="40% - Accent3 2 3 8" xfId="9007" xr:uid="{2DEFD82C-2A62-4C1E-AA8D-7F2606BD9091}"/>
    <cellStyle name="40% - Accent3 2 3 8 2" xfId="18331" xr:uid="{75D3A1C0-91EF-4A66-9C7D-F88F7741C697}"/>
    <cellStyle name="40% - Accent3 2 3 9" xfId="9681" xr:uid="{43EF7BE2-362B-4900-A950-324A33A97ABA}"/>
    <cellStyle name="40% - Accent3 2 4" xfId="635" xr:uid="{00000000-0005-0000-0000-00003F050000}"/>
    <cellStyle name="40% - Accent3 2 4 2" xfId="2906" xr:uid="{00000000-0005-0000-0000-000040050000}"/>
    <cellStyle name="40% - Accent3 2 4 2 2" xfId="7128" xr:uid="{00000000-0005-0000-0000-000041050000}"/>
    <cellStyle name="40% - Accent3 2 4 2 2 2" xfId="16454" xr:uid="{CEF88D06-0494-4B3B-9A22-8F7C481FF99C}"/>
    <cellStyle name="40% - Accent3 2 4 2 3" xfId="12237" xr:uid="{95F2E20A-2342-4C41-BA91-4BF08BE0F365}"/>
    <cellStyle name="40% - Accent3 2 4 3" xfId="4983" xr:uid="{00000000-0005-0000-0000-000042050000}"/>
    <cellStyle name="40% - Accent3 2 4 3 2" xfId="14309" xr:uid="{70BD2EE6-2DED-4979-A503-CAE0F70968A8}"/>
    <cellStyle name="40% - Accent3 2 4 4" xfId="9224" xr:uid="{6B91012A-BFF2-4F1F-901C-A91F06F80031}"/>
    <cellStyle name="40% - Accent3 2 4 4 2" xfId="18540" xr:uid="{26017A56-F550-4538-9FCC-9E32F2462CF5}"/>
    <cellStyle name="40% - Accent3 2 4 5" xfId="10092" xr:uid="{0A1C6A7D-3A63-4A21-892D-FD89D9EEA5C4}"/>
    <cellStyle name="40% - Accent3 2 5" xfId="1088" xr:uid="{00000000-0005-0000-0000-000043050000}"/>
    <cellStyle name="40% - Accent3 2 5 2" xfId="3319" xr:uid="{00000000-0005-0000-0000-000044050000}"/>
    <cellStyle name="40% - Accent3 2 5 2 2" xfId="7541" xr:uid="{00000000-0005-0000-0000-000045050000}"/>
    <cellStyle name="40% - Accent3 2 5 2 2 2" xfId="16867" xr:uid="{A6C59787-1E96-4B52-B049-20BEBE81245F}"/>
    <cellStyle name="40% - Accent3 2 5 2 3" xfId="12650" xr:uid="{C9B4ACC2-4DE6-481E-8EE6-B432DAA3BD22}"/>
    <cellStyle name="40% - Accent3 2 5 3" xfId="5396" xr:uid="{00000000-0005-0000-0000-000046050000}"/>
    <cellStyle name="40% - Accent3 2 5 3 2" xfId="14722" xr:uid="{F7148B24-ECCA-4400-B82E-3C78AA2B4B93}"/>
    <cellStyle name="40% - Accent3 2 5 4" xfId="10505" xr:uid="{9AAE3113-3C94-4A1F-89A7-59A1379DA7FE}"/>
    <cellStyle name="40% - Accent3 2 6" xfId="1502" xr:uid="{00000000-0005-0000-0000-000047050000}"/>
    <cellStyle name="40% - Accent3 2 6 2" xfId="3732" xr:uid="{00000000-0005-0000-0000-000048050000}"/>
    <cellStyle name="40% - Accent3 2 6 2 2" xfId="7954" xr:uid="{00000000-0005-0000-0000-000049050000}"/>
    <cellStyle name="40% - Accent3 2 6 2 2 2" xfId="17280" xr:uid="{F7045784-26CA-470C-BCF6-F9F3B027975C}"/>
    <cellStyle name="40% - Accent3 2 6 2 3" xfId="13063" xr:uid="{91C6364A-CFBD-4174-BD2A-2CFE2852B3A6}"/>
    <cellStyle name="40% - Accent3 2 6 3" xfId="5809" xr:uid="{00000000-0005-0000-0000-00004A050000}"/>
    <cellStyle name="40% - Accent3 2 6 3 2" xfId="15135" xr:uid="{1500B46C-B884-45E3-ABEF-FAB97BABF77B}"/>
    <cellStyle name="40% - Accent3 2 6 4" xfId="10918" xr:uid="{B2F6C65D-388D-4D88-B13C-F77E24ECBA6C}"/>
    <cellStyle name="40% - Accent3 2 7" xfId="1916" xr:uid="{00000000-0005-0000-0000-00004B050000}"/>
    <cellStyle name="40% - Accent3 2 7 2" xfId="4145" xr:uid="{00000000-0005-0000-0000-00004C050000}"/>
    <cellStyle name="40% - Accent3 2 7 2 2" xfId="8367" xr:uid="{00000000-0005-0000-0000-00004D050000}"/>
    <cellStyle name="40% - Accent3 2 7 2 2 2" xfId="17693" xr:uid="{B4E40F4A-9BD7-4E82-BB0A-286FED518295}"/>
    <cellStyle name="40% - Accent3 2 7 2 3" xfId="13476" xr:uid="{92E5B08E-567B-4074-A66B-C003E169A003}"/>
    <cellStyle name="40% - Accent3 2 7 3" xfId="6222" xr:uid="{00000000-0005-0000-0000-00004E050000}"/>
    <cellStyle name="40% - Accent3 2 7 3 2" xfId="15548" xr:uid="{84D295D2-706F-43FD-AF0A-74C16361919C}"/>
    <cellStyle name="40% - Accent3 2 7 4" xfId="11331" xr:uid="{54E9A320-D880-4A52-B3D8-17C2D06DD6EC}"/>
    <cellStyle name="40% - Accent3 2 8" xfId="2329" xr:uid="{00000000-0005-0000-0000-00004F050000}"/>
    <cellStyle name="40% - Accent3 2 8 2" xfId="6635" xr:uid="{00000000-0005-0000-0000-000050050000}"/>
    <cellStyle name="40% - Accent3 2 8 2 2" xfId="15961" xr:uid="{32AFEFA5-F1B1-4D46-B3DF-CCE5906353DB}"/>
    <cellStyle name="40% - Accent3 2 8 3" xfId="11744" xr:uid="{F3A92F3D-C312-43BC-86B6-8F6A4B41D226}"/>
    <cellStyle name="40% - Accent3 2 9" xfId="4569" xr:uid="{00000000-0005-0000-0000-000051050000}"/>
    <cellStyle name="40% - Accent3 2 9 2" xfId="13895" xr:uid="{31BDAE81-47A2-42F8-840D-482FA23EE95B}"/>
    <cellStyle name="40% - Accent3 3" xfId="70" xr:uid="{00000000-0005-0000-0000-000052050000}"/>
    <cellStyle name="40% - Accent3 3 10" xfId="9682" xr:uid="{4ECD43EC-82AA-40E1-96DB-308C67B6AFB9}"/>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2 2 2" xfId="16459" xr:uid="{759C084D-E31B-4EDC-89AF-772A8EB39A04}"/>
    <cellStyle name="40% - Accent3 3 2 2 2 3" xfId="12242" xr:uid="{F9B0F1EE-76E4-4095-B3B4-B27AA8F96CDF}"/>
    <cellStyle name="40% - Accent3 3 2 2 3" xfId="4988" xr:uid="{00000000-0005-0000-0000-000057050000}"/>
    <cellStyle name="40% - Accent3 3 2 2 3 2" xfId="14314" xr:uid="{03487CCC-0026-4075-BAE7-78606B9DB297}"/>
    <cellStyle name="40% - Accent3 3 2 2 4" xfId="9498" xr:uid="{7C43CF58-5AE0-4BAA-9D2B-CAB92F3612F1}"/>
    <cellStyle name="40% - Accent3 3 2 2 4 2" xfId="18813" xr:uid="{B1CE0BDB-B9A3-4A19-B751-D625D6F277EF}"/>
    <cellStyle name="40% - Accent3 3 2 2 5" xfId="10097" xr:uid="{0F46A969-AC7A-4EF6-8BDA-91345699FAB7}"/>
    <cellStyle name="40% - Accent3 3 2 3" xfId="1093" xr:uid="{00000000-0005-0000-0000-000058050000}"/>
    <cellStyle name="40% - Accent3 3 2 3 2" xfId="3324" xr:uid="{00000000-0005-0000-0000-000059050000}"/>
    <cellStyle name="40% - Accent3 3 2 3 2 2" xfId="7546" xr:uid="{00000000-0005-0000-0000-00005A050000}"/>
    <cellStyle name="40% - Accent3 3 2 3 2 2 2" xfId="16872" xr:uid="{BE3BC36F-4965-48DB-89B7-BD507DD57815}"/>
    <cellStyle name="40% - Accent3 3 2 3 2 3" xfId="12655" xr:uid="{A1A0CE88-7B87-444E-B20D-610324BE435B}"/>
    <cellStyle name="40% - Accent3 3 2 3 3" xfId="5401" xr:uid="{00000000-0005-0000-0000-00005B050000}"/>
    <cellStyle name="40% - Accent3 3 2 3 3 2" xfId="14727" xr:uid="{FC13CC20-7B14-42B6-A52F-88597BE9B7CE}"/>
    <cellStyle name="40% - Accent3 3 2 3 4" xfId="10510" xr:uid="{314A0126-7948-426C-A4B7-E16B5C5AA304}"/>
    <cellStyle name="40% - Accent3 3 2 4" xfId="1507" xr:uid="{00000000-0005-0000-0000-00005C050000}"/>
    <cellStyle name="40% - Accent3 3 2 4 2" xfId="3737" xr:uid="{00000000-0005-0000-0000-00005D050000}"/>
    <cellStyle name="40% - Accent3 3 2 4 2 2" xfId="7959" xr:uid="{00000000-0005-0000-0000-00005E050000}"/>
    <cellStyle name="40% - Accent3 3 2 4 2 2 2" xfId="17285" xr:uid="{C0A7F0F9-933F-45C9-89D2-2AE976F88BBE}"/>
    <cellStyle name="40% - Accent3 3 2 4 2 3" xfId="13068" xr:uid="{BEF2D74D-D8B1-4918-ACA3-94EE49F6CCCC}"/>
    <cellStyle name="40% - Accent3 3 2 4 3" xfId="5814" xr:uid="{00000000-0005-0000-0000-00005F050000}"/>
    <cellStyle name="40% - Accent3 3 2 4 3 2" xfId="15140" xr:uid="{D82C7BE0-278F-44D5-80CA-17BA95990890}"/>
    <cellStyle name="40% - Accent3 3 2 4 4" xfId="10923" xr:uid="{D0E371FB-59AC-4491-B984-DC84294561AB}"/>
    <cellStyle name="40% - Accent3 3 2 5" xfId="1921" xr:uid="{00000000-0005-0000-0000-000060050000}"/>
    <cellStyle name="40% - Accent3 3 2 5 2" xfId="4150" xr:uid="{00000000-0005-0000-0000-000061050000}"/>
    <cellStyle name="40% - Accent3 3 2 5 2 2" xfId="8372" xr:uid="{00000000-0005-0000-0000-000062050000}"/>
    <cellStyle name="40% - Accent3 3 2 5 2 2 2" xfId="17698" xr:uid="{91E44B26-8A77-433D-BF42-215457B024EC}"/>
    <cellStyle name="40% - Accent3 3 2 5 2 3" xfId="13481" xr:uid="{9B5A02D6-224D-4E21-ACF0-E65135FF2AD1}"/>
    <cellStyle name="40% - Accent3 3 2 5 3" xfId="6227" xr:uid="{00000000-0005-0000-0000-000063050000}"/>
    <cellStyle name="40% - Accent3 3 2 5 3 2" xfId="15553" xr:uid="{BF89DAD8-7C87-460F-AC77-DC07312F11E9}"/>
    <cellStyle name="40% - Accent3 3 2 5 4" xfId="11336" xr:uid="{D05CA3D0-4978-4F3B-B193-D636AD6F5E91}"/>
    <cellStyle name="40% - Accent3 3 2 6" xfId="2334" xr:uid="{00000000-0005-0000-0000-000064050000}"/>
    <cellStyle name="40% - Accent3 3 2 6 2" xfId="6640" xr:uid="{00000000-0005-0000-0000-000065050000}"/>
    <cellStyle name="40% - Accent3 3 2 6 2 2" xfId="15966" xr:uid="{62EB4A00-F735-4BA4-BC3E-E37F593D638A}"/>
    <cellStyle name="40% - Accent3 3 2 6 3" xfId="11749" xr:uid="{ECF2DAB2-0E29-4599-A3EA-067C70376D96}"/>
    <cellStyle name="40% - Accent3 3 2 7" xfId="4574" xr:uid="{00000000-0005-0000-0000-000066050000}"/>
    <cellStyle name="40% - Accent3 3 2 7 2" xfId="13900" xr:uid="{68988A69-B5F4-4EFC-B6EC-4F841078A2F6}"/>
    <cellStyle name="40% - Accent3 3 2 8" xfId="9073" xr:uid="{0E71C752-2CF0-411D-A05E-4DA4A73CFC34}"/>
    <cellStyle name="40% - Accent3 3 2 8 2" xfId="18397" xr:uid="{350DB328-26B2-4779-855F-3FC4594EC890}"/>
    <cellStyle name="40% - Accent3 3 2 9" xfId="9683" xr:uid="{3C0165E7-D607-4521-BD08-EBF0193FA587}"/>
    <cellStyle name="40% - Accent3 3 3" xfId="639" xr:uid="{00000000-0005-0000-0000-000067050000}"/>
    <cellStyle name="40% - Accent3 3 3 2" xfId="2910" xr:uid="{00000000-0005-0000-0000-000068050000}"/>
    <cellStyle name="40% - Accent3 3 3 2 2" xfId="7132" xr:uid="{00000000-0005-0000-0000-000069050000}"/>
    <cellStyle name="40% - Accent3 3 3 2 2 2" xfId="16458" xr:uid="{87824FEA-4763-45C3-AE02-A84808F534A8}"/>
    <cellStyle name="40% - Accent3 3 3 2 3" xfId="12241" xr:uid="{91DC4297-F6D2-479E-9E3A-034192F92F5E}"/>
    <cellStyle name="40% - Accent3 3 3 3" xfId="4987" xr:uid="{00000000-0005-0000-0000-00006A050000}"/>
    <cellStyle name="40% - Accent3 3 3 3 2" xfId="14313" xr:uid="{BDE2EDF4-1915-4741-9C40-61C8B40300CC}"/>
    <cellStyle name="40% - Accent3 3 3 4" xfId="9291" xr:uid="{59AB3F6D-A8C6-4A37-A8E3-967850079A77}"/>
    <cellStyle name="40% - Accent3 3 3 4 2" xfId="18606" xr:uid="{6CA1F319-48CB-43A6-84D1-B7E2D5FF1902}"/>
    <cellStyle name="40% - Accent3 3 3 5" xfId="10096" xr:uid="{CE9B8847-68E4-4945-9FF9-65D049BBCCEE}"/>
    <cellStyle name="40% - Accent3 3 4" xfId="1092" xr:uid="{00000000-0005-0000-0000-00006B050000}"/>
    <cellStyle name="40% - Accent3 3 4 2" xfId="3323" xr:uid="{00000000-0005-0000-0000-00006C050000}"/>
    <cellStyle name="40% - Accent3 3 4 2 2" xfId="7545" xr:uid="{00000000-0005-0000-0000-00006D050000}"/>
    <cellStyle name="40% - Accent3 3 4 2 2 2" xfId="16871" xr:uid="{777BCB9C-2BED-49A4-A9E1-7FFB0D06DB8B}"/>
    <cellStyle name="40% - Accent3 3 4 2 3" xfId="12654" xr:uid="{7A00F0A1-48FC-46CE-A03A-1CB68919B244}"/>
    <cellStyle name="40% - Accent3 3 4 3" xfId="5400" xr:uid="{00000000-0005-0000-0000-00006E050000}"/>
    <cellStyle name="40% - Accent3 3 4 3 2" xfId="14726" xr:uid="{90870CE0-3387-490A-9371-C6EE2508F350}"/>
    <cellStyle name="40% - Accent3 3 4 4" xfId="10509" xr:uid="{C7CAD9E5-DA8A-4D6D-9C36-A62F5BDC61E4}"/>
    <cellStyle name="40% - Accent3 3 5" xfId="1506" xr:uid="{00000000-0005-0000-0000-00006F050000}"/>
    <cellStyle name="40% - Accent3 3 5 2" xfId="3736" xr:uid="{00000000-0005-0000-0000-000070050000}"/>
    <cellStyle name="40% - Accent3 3 5 2 2" xfId="7958" xr:uid="{00000000-0005-0000-0000-000071050000}"/>
    <cellStyle name="40% - Accent3 3 5 2 2 2" xfId="17284" xr:uid="{171153D1-79DB-4231-806B-06AE5CDCDAA5}"/>
    <cellStyle name="40% - Accent3 3 5 2 3" xfId="13067" xr:uid="{E8487783-11D5-4CB9-8138-300CD7A87354}"/>
    <cellStyle name="40% - Accent3 3 5 3" xfId="5813" xr:uid="{00000000-0005-0000-0000-000072050000}"/>
    <cellStyle name="40% - Accent3 3 5 3 2" xfId="15139" xr:uid="{3E54EC84-6EE9-4911-82A4-B2F4441BB26F}"/>
    <cellStyle name="40% - Accent3 3 5 4" xfId="10922" xr:uid="{E0BFE5DB-EBF5-47EE-97C9-62A148BF6F21}"/>
    <cellStyle name="40% - Accent3 3 6" xfId="1920" xr:uid="{00000000-0005-0000-0000-000073050000}"/>
    <cellStyle name="40% - Accent3 3 6 2" xfId="4149" xr:uid="{00000000-0005-0000-0000-000074050000}"/>
    <cellStyle name="40% - Accent3 3 6 2 2" xfId="8371" xr:uid="{00000000-0005-0000-0000-000075050000}"/>
    <cellStyle name="40% - Accent3 3 6 2 2 2" xfId="17697" xr:uid="{9A86C23F-631C-43E7-8A4D-2D43EF88034E}"/>
    <cellStyle name="40% - Accent3 3 6 2 3" xfId="13480" xr:uid="{D5B334BF-FA94-4240-874C-3396AFFC915E}"/>
    <cellStyle name="40% - Accent3 3 6 3" xfId="6226" xr:uid="{00000000-0005-0000-0000-000076050000}"/>
    <cellStyle name="40% - Accent3 3 6 3 2" xfId="15552" xr:uid="{C4359943-DF11-47F3-827F-264A5992988D}"/>
    <cellStyle name="40% - Accent3 3 6 4" xfId="11335" xr:uid="{B2FE0C0A-6315-4B9B-83C1-48329EF7E1B6}"/>
    <cellStyle name="40% - Accent3 3 7" xfId="2333" xr:uid="{00000000-0005-0000-0000-000077050000}"/>
    <cellStyle name="40% - Accent3 3 7 2" xfId="6639" xr:uid="{00000000-0005-0000-0000-000078050000}"/>
    <cellStyle name="40% - Accent3 3 7 2 2" xfId="15965" xr:uid="{5AA928CE-73F6-47AE-BD7E-19D666BA5E99}"/>
    <cellStyle name="40% - Accent3 3 7 3" xfId="11748" xr:uid="{CA95EC2E-93CF-4661-9AFB-D175C38FB8F2}"/>
    <cellStyle name="40% - Accent3 3 8" xfId="4573" xr:uid="{00000000-0005-0000-0000-000079050000}"/>
    <cellStyle name="40% - Accent3 3 8 2" xfId="13899" xr:uid="{418D2B5F-D825-4B32-8DF1-C4553D659DDB}"/>
    <cellStyle name="40% - Accent3 3 9" xfId="8866" xr:uid="{1A1EF43E-4A2B-42A8-98A3-CEC34DD3B00D}"/>
    <cellStyle name="40% - Accent3 3 9 2" xfId="18190" xr:uid="{A19F34E5-C215-4B21-A62F-68FE18A65C25}"/>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2 2 2" xfId="16460" xr:uid="{AEA7D1CD-14A3-4911-9ACD-70E51214E772}"/>
    <cellStyle name="40% - Accent3 4 2 2 3" xfId="12243" xr:uid="{2AE83F0B-4BDC-4B22-A376-8E81CA99945D}"/>
    <cellStyle name="40% - Accent3 4 2 3" xfId="4989" xr:uid="{00000000-0005-0000-0000-00007E050000}"/>
    <cellStyle name="40% - Accent3 4 2 3 2" xfId="14315" xr:uid="{6B378E07-7D8B-4B5C-B3DB-0EA94A075989}"/>
    <cellStyle name="40% - Accent3 4 2 4" xfId="9377" xr:uid="{F4393833-4E73-4685-9332-CF918D5239A9}"/>
    <cellStyle name="40% - Accent3 4 2 4 2" xfId="18692" xr:uid="{D344CF2E-64F5-454D-9030-B6512F340067}"/>
    <cellStyle name="40% - Accent3 4 2 5" xfId="10098" xr:uid="{7C7330B5-D5B7-49C8-BA3C-CADC643F1C52}"/>
    <cellStyle name="40% - Accent3 4 3" xfId="1094" xr:uid="{00000000-0005-0000-0000-00007F050000}"/>
    <cellStyle name="40% - Accent3 4 3 2" xfId="3325" xr:uid="{00000000-0005-0000-0000-000080050000}"/>
    <cellStyle name="40% - Accent3 4 3 2 2" xfId="7547" xr:uid="{00000000-0005-0000-0000-000081050000}"/>
    <cellStyle name="40% - Accent3 4 3 2 2 2" xfId="16873" xr:uid="{D7F997AA-364D-4B8B-9B5A-B4AB35568321}"/>
    <cellStyle name="40% - Accent3 4 3 2 3" xfId="12656" xr:uid="{477696B6-D05C-4017-8799-394FD929DFB5}"/>
    <cellStyle name="40% - Accent3 4 3 3" xfId="5402" xr:uid="{00000000-0005-0000-0000-000082050000}"/>
    <cellStyle name="40% - Accent3 4 3 3 2" xfId="14728" xr:uid="{F512BC2E-3F59-43AF-9F43-BD391B588C5C}"/>
    <cellStyle name="40% - Accent3 4 3 4" xfId="10511" xr:uid="{F1960AD5-8485-4F41-A50E-920F1F7D6688}"/>
    <cellStyle name="40% - Accent3 4 4" xfId="1508" xr:uid="{00000000-0005-0000-0000-000083050000}"/>
    <cellStyle name="40% - Accent3 4 4 2" xfId="3738" xr:uid="{00000000-0005-0000-0000-000084050000}"/>
    <cellStyle name="40% - Accent3 4 4 2 2" xfId="7960" xr:uid="{00000000-0005-0000-0000-000085050000}"/>
    <cellStyle name="40% - Accent3 4 4 2 2 2" xfId="17286" xr:uid="{470A51D8-EA68-41D1-BF39-E1CF7A660CC3}"/>
    <cellStyle name="40% - Accent3 4 4 2 3" xfId="13069" xr:uid="{74697105-D3C7-4E20-B67B-A511F059CAF9}"/>
    <cellStyle name="40% - Accent3 4 4 3" xfId="5815" xr:uid="{00000000-0005-0000-0000-000086050000}"/>
    <cellStyle name="40% - Accent3 4 4 3 2" xfId="15141" xr:uid="{CC46C2B7-6801-440B-B167-26F0D08B00CA}"/>
    <cellStyle name="40% - Accent3 4 4 4" xfId="10924" xr:uid="{1D1ACF72-7BC7-4252-8333-59E9A9D21FAC}"/>
    <cellStyle name="40% - Accent3 4 5" xfId="1922" xr:uid="{00000000-0005-0000-0000-000087050000}"/>
    <cellStyle name="40% - Accent3 4 5 2" xfId="4151" xr:uid="{00000000-0005-0000-0000-000088050000}"/>
    <cellStyle name="40% - Accent3 4 5 2 2" xfId="8373" xr:uid="{00000000-0005-0000-0000-000089050000}"/>
    <cellStyle name="40% - Accent3 4 5 2 2 2" xfId="17699" xr:uid="{84F3C0F8-C89B-450B-99BC-35B3D820650D}"/>
    <cellStyle name="40% - Accent3 4 5 2 3" xfId="13482" xr:uid="{89D860AA-8786-43A4-AB9C-FABC381BC6DE}"/>
    <cellStyle name="40% - Accent3 4 5 3" xfId="6228" xr:uid="{00000000-0005-0000-0000-00008A050000}"/>
    <cellStyle name="40% - Accent3 4 5 3 2" xfId="15554" xr:uid="{D1B072ED-88FD-4DC6-9A7C-3FF7C3B4F554}"/>
    <cellStyle name="40% - Accent3 4 5 4" xfId="11337" xr:uid="{73292207-E106-410B-9DBA-CE09C1AC93FF}"/>
    <cellStyle name="40% - Accent3 4 6" xfId="2335" xr:uid="{00000000-0005-0000-0000-00008B050000}"/>
    <cellStyle name="40% - Accent3 4 6 2" xfId="6641" xr:uid="{00000000-0005-0000-0000-00008C050000}"/>
    <cellStyle name="40% - Accent3 4 6 2 2" xfId="15967" xr:uid="{86C0465A-B57C-4244-BF09-D0B7FC687F3C}"/>
    <cellStyle name="40% - Accent3 4 6 3" xfId="11750" xr:uid="{E43833D2-61C8-4134-A675-F837CE15460E}"/>
    <cellStyle name="40% - Accent3 4 7" xfId="4575" xr:uid="{00000000-0005-0000-0000-00008D050000}"/>
    <cellStyle name="40% - Accent3 4 7 2" xfId="13901" xr:uid="{252A058B-2102-4EDD-A652-6033818E0887}"/>
    <cellStyle name="40% - Accent3 4 8" xfId="8952" xr:uid="{74BF8F1E-4A34-4787-9BA1-0B97E446635F}"/>
    <cellStyle name="40% - Accent3 4 8 2" xfId="18276" xr:uid="{BC4A5CC7-2E51-461A-99D6-81CC082B95D1}"/>
    <cellStyle name="40% - Accent3 4 9" xfId="9684" xr:uid="{0A4475AD-BDA9-4A01-9A7A-FD7CAD302EC9}"/>
    <cellStyle name="40% - Accent3 5" xfId="634" xr:uid="{00000000-0005-0000-0000-00008E050000}"/>
    <cellStyle name="40% - Accent3 5 2" xfId="2905" xr:uid="{00000000-0005-0000-0000-00008F050000}"/>
    <cellStyle name="40% - Accent3 5 2 2" xfId="7127" xr:uid="{00000000-0005-0000-0000-000090050000}"/>
    <cellStyle name="40% - Accent3 5 2 2 2" xfId="16453" xr:uid="{4DD4E487-698D-44CF-8402-B6190F38F8C2}"/>
    <cellStyle name="40% - Accent3 5 2 3" xfId="12236" xr:uid="{A0CDC62D-B058-4BFD-B2E1-F714B10921A7}"/>
    <cellStyle name="40% - Accent3 5 3" xfId="4982" xr:uid="{00000000-0005-0000-0000-000091050000}"/>
    <cellStyle name="40% - Accent3 5 3 2" xfId="14308" xr:uid="{FB75F643-C781-4240-A72E-8BFD44625F82}"/>
    <cellStyle name="40% - Accent3 5 4" xfId="9185" xr:uid="{526F025D-EBF7-4976-9E38-4C0631A2843B}"/>
    <cellStyle name="40% - Accent3 5 4 2" xfId="18503" xr:uid="{C4D90140-345E-448A-AB4B-1A8B41B11917}"/>
    <cellStyle name="40% - Accent3 5 5" xfId="10091" xr:uid="{71BBBF19-2B8B-4A8D-9BD5-8CD4DAAACB1B}"/>
    <cellStyle name="40% - Accent3 6" xfId="1087" xr:uid="{00000000-0005-0000-0000-000092050000}"/>
    <cellStyle name="40% - Accent3 6 2" xfId="3318" xr:uid="{00000000-0005-0000-0000-000093050000}"/>
    <cellStyle name="40% - Accent3 6 2 2" xfId="7540" xr:uid="{00000000-0005-0000-0000-000094050000}"/>
    <cellStyle name="40% - Accent3 6 2 2 2" xfId="16866" xr:uid="{ACB513DF-71A2-4832-8483-BCFF20706A29}"/>
    <cellStyle name="40% - Accent3 6 2 3" xfId="12649" xr:uid="{C4A995ED-032A-4C0F-BF32-5B302D015B35}"/>
    <cellStyle name="40% - Accent3 6 3" xfId="5395" xr:uid="{00000000-0005-0000-0000-000095050000}"/>
    <cellStyle name="40% - Accent3 6 3 2" xfId="14721" xr:uid="{D6F152D3-17F6-44F4-AF95-0C7623232CF9}"/>
    <cellStyle name="40% - Accent3 6 4" xfId="10504" xr:uid="{3EB40308-401B-4D4C-82DC-901DA6A8612D}"/>
    <cellStyle name="40% - Accent3 7" xfId="1501" xr:uid="{00000000-0005-0000-0000-000096050000}"/>
    <cellStyle name="40% - Accent3 7 2" xfId="3731" xr:uid="{00000000-0005-0000-0000-000097050000}"/>
    <cellStyle name="40% - Accent3 7 2 2" xfId="7953" xr:uid="{00000000-0005-0000-0000-000098050000}"/>
    <cellStyle name="40% - Accent3 7 2 2 2" xfId="17279" xr:uid="{03B7A1BA-A4AE-4FA9-8E78-5748DA3294F2}"/>
    <cellStyle name="40% - Accent3 7 2 3" xfId="13062" xr:uid="{49C61240-2997-41A0-B0AD-2A24DC873649}"/>
    <cellStyle name="40% - Accent3 7 3" xfId="5808" xr:uid="{00000000-0005-0000-0000-000099050000}"/>
    <cellStyle name="40% - Accent3 7 3 2" xfId="15134" xr:uid="{951C2E25-22B6-4864-B529-6A504C5148A1}"/>
    <cellStyle name="40% - Accent3 7 4" xfId="10917" xr:uid="{07E2A3CC-C04A-49ED-8B29-14F784E9E71B}"/>
    <cellStyle name="40% - Accent3 8" xfId="1915" xr:uid="{00000000-0005-0000-0000-00009A050000}"/>
    <cellStyle name="40% - Accent3 8 2" xfId="4144" xr:uid="{00000000-0005-0000-0000-00009B050000}"/>
    <cellStyle name="40% - Accent3 8 2 2" xfId="8366" xr:uid="{00000000-0005-0000-0000-00009C050000}"/>
    <cellStyle name="40% - Accent3 8 2 2 2" xfId="17692" xr:uid="{57EBAEBF-A389-492B-8BBC-9ABD2F3D65A9}"/>
    <cellStyle name="40% - Accent3 8 2 3" xfId="13475" xr:uid="{82E68A17-6BC6-415C-9AF9-7504FCA86D06}"/>
    <cellStyle name="40% - Accent3 8 3" xfId="6221" xr:uid="{00000000-0005-0000-0000-00009D050000}"/>
    <cellStyle name="40% - Accent3 8 3 2" xfId="15547" xr:uid="{1A865A84-23B8-4B60-AA5E-BAA751099C51}"/>
    <cellStyle name="40% - Accent3 8 4" xfId="11330" xr:uid="{26056D0A-06F8-4F1E-A1C1-757C8B144DEF}"/>
    <cellStyle name="40% - Accent3 9" xfId="2328" xr:uid="{00000000-0005-0000-0000-00009E050000}"/>
    <cellStyle name="40% - Accent3 9 2" xfId="6634" xr:uid="{00000000-0005-0000-0000-00009F050000}"/>
    <cellStyle name="40% - Accent3 9 2 2" xfId="15960" xr:uid="{B2A5148F-09B2-45A3-9497-47D726993294}"/>
    <cellStyle name="40% - Accent3 9 3" xfId="11743" xr:uid="{6FEDF8C9-4229-4F86-8EBF-A53FCE0B9D6B}"/>
    <cellStyle name="40% - Accent4" xfId="73" builtinId="43" customBuiltin="1"/>
    <cellStyle name="40% - Accent4 10" xfId="4576" xr:uid="{00000000-0005-0000-0000-0000A1050000}"/>
    <cellStyle name="40% - Accent4 10 2" xfId="13902" xr:uid="{89751BCE-2422-40FD-BD93-A583DBD4197A}"/>
    <cellStyle name="40% - Accent4 11" xfId="8765" xr:uid="{18B6B6D6-5043-43D1-BB02-3855BF7027C3}"/>
    <cellStyle name="40% - Accent4 11 2" xfId="18089" xr:uid="{6D0DB7A0-ED9A-4AC2-AB10-5EC5A827E819}"/>
    <cellStyle name="40% - Accent4 12" xfId="9685" xr:uid="{995BBF33-945D-48AB-A9B8-7CBCC2B3BDBE}"/>
    <cellStyle name="40% - Accent4 2" xfId="74" xr:uid="{00000000-0005-0000-0000-0000A2050000}"/>
    <cellStyle name="40% - Accent4 2 10" xfId="8801" xr:uid="{223FCC58-A05E-4022-8080-E75A80678FA6}"/>
    <cellStyle name="40% - Accent4 2 10 2" xfId="18125" xr:uid="{C4F1A8B5-F661-493A-A637-70CC8A1DCF38}"/>
    <cellStyle name="40% - Accent4 2 11" xfId="9686" xr:uid="{BD75390D-69A9-4AE8-AFBD-C2989DA96761}"/>
    <cellStyle name="40% - Accent4 2 2" xfId="75" xr:uid="{00000000-0005-0000-0000-0000A3050000}"/>
    <cellStyle name="40% - Accent4 2 2 10" xfId="9687" xr:uid="{3D9F368B-FF2F-47D7-B98C-938620655684}"/>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2 2 2" xfId="16464" xr:uid="{59B053DD-0758-4302-A569-BCB6B99412FA}"/>
    <cellStyle name="40% - Accent4 2 2 2 2 2 3" xfId="12247" xr:uid="{068F4695-997F-4443-903B-026392B1634C}"/>
    <cellStyle name="40% - Accent4 2 2 2 2 3" xfId="4993" xr:uid="{00000000-0005-0000-0000-0000A8050000}"/>
    <cellStyle name="40% - Accent4 2 2 2 2 3 2" xfId="14319" xr:uid="{A8ADAA89-E8C9-4F0D-85BB-26A54002410E}"/>
    <cellStyle name="40% - Accent4 2 2 2 2 4" xfId="9536" xr:uid="{4351D24F-CE30-4CFD-968F-4B882F0FC9B5}"/>
    <cellStyle name="40% - Accent4 2 2 2 2 4 2" xfId="18851" xr:uid="{D982D7FC-C33F-436C-AA4E-96B491A6536A}"/>
    <cellStyle name="40% - Accent4 2 2 2 2 5" xfId="10102" xr:uid="{793EA646-1CCE-41FF-9E15-7A641A5080E8}"/>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2 2 2" xfId="16877" xr:uid="{C03232C5-40D0-4F5D-8FED-3B1BFA725713}"/>
    <cellStyle name="40% - Accent4 2 2 2 3 2 3" xfId="12660" xr:uid="{0FA0FDD4-0025-4ADC-803B-FD8DE0A90FDB}"/>
    <cellStyle name="40% - Accent4 2 2 2 3 3" xfId="5406" xr:uid="{00000000-0005-0000-0000-0000AC050000}"/>
    <cellStyle name="40% - Accent4 2 2 2 3 3 2" xfId="14732" xr:uid="{5509DDCD-87CC-4C23-927C-218B70258349}"/>
    <cellStyle name="40% - Accent4 2 2 2 3 4" xfId="10515" xr:uid="{B85EBDB8-09D5-4272-A50F-F9A339860E21}"/>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2 2 2" xfId="17290" xr:uid="{18E2FC49-5008-4321-980B-7C50C45A113E}"/>
    <cellStyle name="40% - Accent4 2 2 2 4 2 3" xfId="13073" xr:uid="{1CBA77FF-02A3-46E7-BF9E-679C64180F5E}"/>
    <cellStyle name="40% - Accent4 2 2 2 4 3" xfId="5819" xr:uid="{00000000-0005-0000-0000-0000B0050000}"/>
    <cellStyle name="40% - Accent4 2 2 2 4 3 2" xfId="15145" xr:uid="{935A1DAC-2B60-4393-9AA7-C659D12D571D}"/>
    <cellStyle name="40% - Accent4 2 2 2 4 4" xfId="10928" xr:uid="{9788150D-7A2F-421B-8464-CCBDF7D765FD}"/>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2 2 2" xfId="17703" xr:uid="{C6595E93-5EA5-459C-97D8-B1CF48349797}"/>
    <cellStyle name="40% - Accent4 2 2 2 5 2 3" xfId="13486" xr:uid="{3202D444-65E1-4C9E-9502-7F1B510DD0B3}"/>
    <cellStyle name="40% - Accent4 2 2 2 5 3" xfId="6232" xr:uid="{00000000-0005-0000-0000-0000B4050000}"/>
    <cellStyle name="40% - Accent4 2 2 2 5 3 2" xfId="15558" xr:uid="{E26164DC-D01A-49E6-911F-99EF80AEDE83}"/>
    <cellStyle name="40% - Accent4 2 2 2 5 4" xfId="11341" xr:uid="{6CAEE504-1CEA-4B57-9342-9C7D1612F293}"/>
    <cellStyle name="40% - Accent4 2 2 2 6" xfId="2339" xr:uid="{00000000-0005-0000-0000-0000B5050000}"/>
    <cellStyle name="40% - Accent4 2 2 2 6 2" xfId="6645" xr:uid="{00000000-0005-0000-0000-0000B6050000}"/>
    <cellStyle name="40% - Accent4 2 2 2 6 2 2" xfId="15971" xr:uid="{F79B507E-1B03-4957-838D-945CF10B592B}"/>
    <cellStyle name="40% - Accent4 2 2 2 6 3" xfId="11754" xr:uid="{DF8A7D65-C67D-4D43-B81D-DB0F6DFF50D2}"/>
    <cellStyle name="40% - Accent4 2 2 2 7" xfId="4579" xr:uid="{00000000-0005-0000-0000-0000B7050000}"/>
    <cellStyle name="40% - Accent4 2 2 2 7 2" xfId="13905" xr:uid="{003EE6E2-AA41-4B34-97BB-B1D98AA423BE}"/>
    <cellStyle name="40% - Accent4 2 2 2 8" xfId="9111" xr:uid="{1DD86F12-0D11-497C-88D9-78D90E1EF65F}"/>
    <cellStyle name="40% - Accent4 2 2 2 8 2" xfId="18435" xr:uid="{BB47BB53-AB3E-45A2-BBB2-10D7EC51C32A}"/>
    <cellStyle name="40% - Accent4 2 2 2 9" xfId="9688" xr:uid="{7988BC9C-A6BF-44F7-AA12-50D5C33614E2}"/>
    <cellStyle name="40% - Accent4 2 2 3" xfId="644" xr:uid="{00000000-0005-0000-0000-0000B8050000}"/>
    <cellStyle name="40% - Accent4 2 2 3 2" xfId="2915" xr:uid="{00000000-0005-0000-0000-0000B9050000}"/>
    <cellStyle name="40% - Accent4 2 2 3 2 2" xfId="7137" xr:uid="{00000000-0005-0000-0000-0000BA050000}"/>
    <cellStyle name="40% - Accent4 2 2 3 2 2 2" xfId="16463" xr:uid="{5127F61B-4F1D-4F62-A101-F17BA5D48B80}"/>
    <cellStyle name="40% - Accent4 2 2 3 2 3" xfId="12246" xr:uid="{86A9407F-07A7-4F8D-915F-01DC669D3FE0}"/>
    <cellStyle name="40% - Accent4 2 2 3 3" xfId="4992" xr:uid="{00000000-0005-0000-0000-0000BB050000}"/>
    <cellStyle name="40% - Accent4 2 2 3 3 2" xfId="14318" xr:uid="{18F61D25-B052-4299-B61C-3163A4D707B1}"/>
    <cellStyle name="40% - Accent4 2 2 3 4" xfId="9329" xr:uid="{62CB3536-9FC4-4DBF-9121-AD0025D891C9}"/>
    <cellStyle name="40% - Accent4 2 2 3 4 2" xfId="18644" xr:uid="{4447BAC9-267B-4EEF-A6DB-81E1952B38F7}"/>
    <cellStyle name="40% - Accent4 2 2 3 5" xfId="10101" xr:uid="{2E442A98-5498-4BF0-91BE-581B50741B26}"/>
    <cellStyle name="40% - Accent4 2 2 4" xfId="1097" xr:uid="{00000000-0005-0000-0000-0000BC050000}"/>
    <cellStyle name="40% - Accent4 2 2 4 2" xfId="3328" xr:uid="{00000000-0005-0000-0000-0000BD050000}"/>
    <cellStyle name="40% - Accent4 2 2 4 2 2" xfId="7550" xr:uid="{00000000-0005-0000-0000-0000BE050000}"/>
    <cellStyle name="40% - Accent4 2 2 4 2 2 2" xfId="16876" xr:uid="{D6B75DA1-5181-43BA-92D2-9DE484DC1876}"/>
    <cellStyle name="40% - Accent4 2 2 4 2 3" xfId="12659" xr:uid="{1CDA4E12-7C36-4738-B0AC-6FAA0F40C8B6}"/>
    <cellStyle name="40% - Accent4 2 2 4 3" xfId="5405" xr:uid="{00000000-0005-0000-0000-0000BF050000}"/>
    <cellStyle name="40% - Accent4 2 2 4 3 2" xfId="14731" xr:uid="{5440EE04-EFA2-4204-B32D-B77C8CF5F92E}"/>
    <cellStyle name="40% - Accent4 2 2 4 4" xfId="10514" xr:uid="{247F089A-30C7-4EEA-BC32-D96736043EFA}"/>
    <cellStyle name="40% - Accent4 2 2 5" xfId="1511" xr:uid="{00000000-0005-0000-0000-0000C0050000}"/>
    <cellStyle name="40% - Accent4 2 2 5 2" xfId="3741" xr:uid="{00000000-0005-0000-0000-0000C1050000}"/>
    <cellStyle name="40% - Accent4 2 2 5 2 2" xfId="7963" xr:uid="{00000000-0005-0000-0000-0000C2050000}"/>
    <cellStyle name="40% - Accent4 2 2 5 2 2 2" xfId="17289" xr:uid="{CF9F7BAD-E03A-4FB5-9F94-CE91887E94D9}"/>
    <cellStyle name="40% - Accent4 2 2 5 2 3" xfId="13072" xr:uid="{F9B3264B-B74E-4275-9D9A-0132AD43FFE8}"/>
    <cellStyle name="40% - Accent4 2 2 5 3" xfId="5818" xr:uid="{00000000-0005-0000-0000-0000C3050000}"/>
    <cellStyle name="40% - Accent4 2 2 5 3 2" xfId="15144" xr:uid="{93820672-8022-45D6-982C-2FC67E012E34}"/>
    <cellStyle name="40% - Accent4 2 2 5 4" xfId="10927" xr:uid="{9C2D9CB1-9800-4F0B-8B9D-8CFC6C20A67F}"/>
    <cellStyle name="40% - Accent4 2 2 6" xfId="1925" xr:uid="{00000000-0005-0000-0000-0000C4050000}"/>
    <cellStyle name="40% - Accent4 2 2 6 2" xfId="4154" xr:uid="{00000000-0005-0000-0000-0000C5050000}"/>
    <cellStyle name="40% - Accent4 2 2 6 2 2" xfId="8376" xr:uid="{00000000-0005-0000-0000-0000C6050000}"/>
    <cellStyle name="40% - Accent4 2 2 6 2 2 2" xfId="17702" xr:uid="{58144100-34E6-4082-9A67-FF757323B567}"/>
    <cellStyle name="40% - Accent4 2 2 6 2 3" xfId="13485" xr:uid="{6ABBCED6-296E-408C-BD12-00AFA8D0CC96}"/>
    <cellStyle name="40% - Accent4 2 2 6 3" xfId="6231" xr:uid="{00000000-0005-0000-0000-0000C7050000}"/>
    <cellStyle name="40% - Accent4 2 2 6 3 2" xfId="15557" xr:uid="{A9D869BB-AEC9-4E59-8955-CD3D3DBB0B3F}"/>
    <cellStyle name="40% - Accent4 2 2 6 4" xfId="11340" xr:uid="{E20A9107-3E69-4C69-BB2F-6AB04AE2553C}"/>
    <cellStyle name="40% - Accent4 2 2 7" xfId="2338" xr:uid="{00000000-0005-0000-0000-0000C8050000}"/>
    <cellStyle name="40% - Accent4 2 2 7 2" xfId="6644" xr:uid="{00000000-0005-0000-0000-0000C9050000}"/>
    <cellStyle name="40% - Accent4 2 2 7 2 2" xfId="15970" xr:uid="{7598E6B6-0750-4DFC-969A-6E9A887069E1}"/>
    <cellStyle name="40% - Accent4 2 2 7 3" xfId="11753" xr:uid="{DAFCF9AA-3223-47DE-8EE1-F9631B4A6191}"/>
    <cellStyle name="40% - Accent4 2 2 8" xfId="4578" xr:uid="{00000000-0005-0000-0000-0000CA050000}"/>
    <cellStyle name="40% - Accent4 2 2 8 2" xfId="13904" xr:uid="{9A506A48-D0E2-4E2F-BA12-8C306F10B0C5}"/>
    <cellStyle name="40% - Accent4 2 2 9" xfId="8904" xr:uid="{64C959C5-2FAF-462D-88B6-14B59CDC763B}"/>
    <cellStyle name="40% - Accent4 2 2 9 2" xfId="18228" xr:uid="{2317D53A-468F-4A15-BB33-A0D8FE62F4CF}"/>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2 2 2" xfId="16465" xr:uid="{3134DB38-2EAE-4036-BB40-1C9031FF2DDD}"/>
    <cellStyle name="40% - Accent4 2 3 2 2 3" xfId="12248" xr:uid="{EF3F3874-7DF3-454D-9A2B-8E74BD80D4BE}"/>
    <cellStyle name="40% - Accent4 2 3 2 3" xfId="4994" xr:uid="{00000000-0005-0000-0000-0000CF050000}"/>
    <cellStyle name="40% - Accent4 2 3 2 3 2" xfId="14320" xr:uid="{4155293C-6DBC-4EB2-A075-DE47377A1277}"/>
    <cellStyle name="40% - Accent4 2 3 2 4" xfId="9433" xr:uid="{058786D1-7E7D-40D9-9218-B4C7219F4E53}"/>
    <cellStyle name="40% - Accent4 2 3 2 4 2" xfId="18748" xr:uid="{70E7A336-16D1-4493-8B25-63DDFD47252A}"/>
    <cellStyle name="40% - Accent4 2 3 2 5" xfId="10103" xr:uid="{618FE222-4BFF-4510-AAF6-3ABCF70BB267}"/>
    <cellStyle name="40% - Accent4 2 3 3" xfId="1099" xr:uid="{00000000-0005-0000-0000-0000D0050000}"/>
    <cellStyle name="40% - Accent4 2 3 3 2" xfId="3330" xr:uid="{00000000-0005-0000-0000-0000D1050000}"/>
    <cellStyle name="40% - Accent4 2 3 3 2 2" xfId="7552" xr:uid="{00000000-0005-0000-0000-0000D2050000}"/>
    <cellStyle name="40% - Accent4 2 3 3 2 2 2" xfId="16878" xr:uid="{DF2C68B5-2B4D-47CF-869C-E3EFFAFBAB89}"/>
    <cellStyle name="40% - Accent4 2 3 3 2 3" xfId="12661" xr:uid="{050FE245-CC24-493D-92E7-7560CA00E345}"/>
    <cellStyle name="40% - Accent4 2 3 3 3" xfId="5407" xr:uid="{00000000-0005-0000-0000-0000D3050000}"/>
    <cellStyle name="40% - Accent4 2 3 3 3 2" xfId="14733" xr:uid="{062E1E5B-4506-4418-8EC6-8D0021529C30}"/>
    <cellStyle name="40% - Accent4 2 3 3 4" xfId="10516" xr:uid="{110DE5FF-BB25-4161-BB16-E4EF0A3224E6}"/>
    <cellStyle name="40% - Accent4 2 3 4" xfId="1513" xr:uid="{00000000-0005-0000-0000-0000D4050000}"/>
    <cellStyle name="40% - Accent4 2 3 4 2" xfId="3743" xr:uid="{00000000-0005-0000-0000-0000D5050000}"/>
    <cellStyle name="40% - Accent4 2 3 4 2 2" xfId="7965" xr:uid="{00000000-0005-0000-0000-0000D6050000}"/>
    <cellStyle name="40% - Accent4 2 3 4 2 2 2" xfId="17291" xr:uid="{E877D660-8E1F-4D24-A198-F5690C9796BD}"/>
    <cellStyle name="40% - Accent4 2 3 4 2 3" xfId="13074" xr:uid="{4ECD0A2A-BBE4-4D65-8D05-0119F2BF0629}"/>
    <cellStyle name="40% - Accent4 2 3 4 3" xfId="5820" xr:uid="{00000000-0005-0000-0000-0000D7050000}"/>
    <cellStyle name="40% - Accent4 2 3 4 3 2" xfId="15146" xr:uid="{05ECF9A3-E4D0-4BBE-B253-D9D5F819C145}"/>
    <cellStyle name="40% - Accent4 2 3 4 4" xfId="10929" xr:uid="{B673104A-3239-4F20-9090-5CB3314E3445}"/>
    <cellStyle name="40% - Accent4 2 3 5" xfId="1927" xr:uid="{00000000-0005-0000-0000-0000D8050000}"/>
    <cellStyle name="40% - Accent4 2 3 5 2" xfId="4156" xr:uid="{00000000-0005-0000-0000-0000D9050000}"/>
    <cellStyle name="40% - Accent4 2 3 5 2 2" xfId="8378" xr:uid="{00000000-0005-0000-0000-0000DA050000}"/>
    <cellStyle name="40% - Accent4 2 3 5 2 2 2" xfId="17704" xr:uid="{D522A3CA-EF6B-4CCD-89CB-9B437925F937}"/>
    <cellStyle name="40% - Accent4 2 3 5 2 3" xfId="13487" xr:uid="{7AE74AC4-E216-44CC-A3A2-B1F910C16AD8}"/>
    <cellStyle name="40% - Accent4 2 3 5 3" xfId="6233" xr:uid="{00000000-0005-0000-0000-0000DB050000}"/>
    <cellStyle name="40% - Accent4 2 3 5 3 2" xfId="15559" xr:uid="{C6342BBA-4505-45CA-9835-A0F1FAAFED7D}"/>
    <cellStyle name="40% - Accent4 2 3 5 4" xfId="11342" xr:uid="{7908C54D-5AA7-486E-885F-1EFFFA4B49BA}"/>
    <cellStyle name="40% - Accent4 2 3 6" xfId="2340" xr:uid="{00000000-0005-0000-0000-0000DC050000}"/>
    <cellStyle name="40% - Accent4 2 3 6 2" xfId="6646" xr:uid="{00000000-0005-0000-0000-0000DD050000}"/>
    <cellStyle name="40% - Accent4 2 3 6 2 2" xfId="15972" xr:uid="{FF3BC630-9C85-4762-89AF-FB527ADC273D}"/>
    <cellStyle name="40% - Accent4 2 3 6 3" xfId="11755" xr:uid="{D4E7FEAD-DE0B-43BB-B8BD-F4D01A235504}"/>
    <cellStyle name="40% - Accent4 2 3 7" xfId="4580" xr:uid="{00000000-0005-0000-0000-0000DE050000}"/>
    <cellStyle name="40% - Accent4 2 3 7 2" xfId="13906" xr:uid="{36B3B953-058E-4CB0-8FF4-547036A6F1EF}"/>
    <cellStyle name="40% - Accent4 2 3 8" xfId="9008" xr:uid="{270F4CAB-C86F-4D9D-804F-69497913908B}"/>
    <cellStyle name="40% - Accent4 2 3 8 2" xfId="18332" xr:uid="{549F96E6-555E-4476-9C72-692D51CFC010}"/>
    <cellStyle name="40% - Accent4 2 3 9" xfId="9689" xr:uid="{40641481-3DD9-474B-B180-359687DF6C54}"/>
    <cellStyle name="40% - Accent4 2 4" xfId="643" xr:uid="{00000000-0005-0000-0000-0000DF050000}"/>
    <cellStyle name="40% - Accent4 2 4 2" xfId="2914" xr:uid="{00000000-0005-0000-0000-0000E0050000}"/>
    <cellStyle name="40% - Accent4 2 4 2 2" xfId="7136" xr:uid="{00000000-0005-0000-0000-0000E1050000}"/>
    <cellStyle name="40% - Accent4 2 4 2 2 2" xfId="16462" xr:uid="{A417F705-3546-40B4-9456-F86D1C6EC30F}"/>
    <cellStyle name="40% - Accent4 2 4 2 3" xfId="12245" xr:uid="{B90AF010-690E-41DA-897A-3407B374104D}"/>
    <cellStyle name="40% - Accent4 2 4 3" xfId="4991" xr:uid="{00000000-0005-0000-0000-0000E2050000}"/>
    <cellStyle name="40% - Accent4 2 4 3 2" xfId="14317" xr:uid="{3DCA7D8E-6FED-4464-9488-D475B4924D8B}"/>
    <cellStyle name="40% - Accent4 2 4 4" xfId="9225" xr:uid="{40EEB981-54C4-40E4-A2F9-BCD479248D23}"/>
    <cellStyle name="40% - Accent4 2 4 4 2" xfId="18541" xr:uid="{2295F719-7DC4-49AF-8AD7-02DDE50390DE}"/>
    <cellStyle name="40% - Accent4 2 4 5" xfId="10100" xr:uid="{369604F4-B446-478A-AB62-6BE744FB6FEB}"/>
    <cellStyle name="40% - Accent4 2 5" xfId="1096" xr:uid="{00000000-0005-0000-0000-0000E3050000}"/>
    <cellStyle name="40% - Accent4 2 5 2" xfId="3327" xr:uid="{00000000-0005-0000-0000-0000E4050000}"/>
    <cellStyle name="40% - Accent4 2 5 2 2" xfId="7549" xr:uid="{00000000-0005-0000-0000-0000E5050000}"/>
    <cellStyle name="40% - Accent4 2 5 2 2 2" xfId="16875" xr:uid="{FAF5834F-9D5E-47AB-ACEB-0C78E481F80E}"/>
    <cellStyle name="40% - Accent4 2 5 2 3" xfId="12658" xr:uid="{87A5DACC-DBD9-49AB-A650-19B3AC14011B}"/>
    <cellStyle name="40% - Accent4 2 5 3" xfId="5404" xr:uid="{00000000-0005-0000-0000-0000E6050000}"/>
    <cellStyle name="40% - Accent4 2 5 3 2" xfId="14730" xr:uid="{9FC7BAD5-3EB3-4CCC-953E-FDB1D6B852C7}"/>
    <cellStyle name="40% - Accent4 2 5 4" xfId="10513" xr:uid="{399A619F-40D7-4F14-BDFA-AE86058DF5AC}"/>
    <cellStyle name="40% - Accent4 2 6" xfId="1510" xr:uid="{00000000-0005-0000-0000-0000E7050000}"/>
    <cellStyle name="40% - Accent4 2 6 2" xfId="3740" xr:uid="{00000000-0005-0000-0000-0000E8050000}"/>
    <cellStyle name="40% - Accent4 2 6 2 2" xfId="7962" xr:uid="{00000000-0005-0000-0000-0000E9050000}"/>
    <cellStyle name="40% - Accent4 2 6 2 2 2" xfId="17288" xr:uid="{E41E3B8D-C222-44A5-958D-616F41003626}"/>
    <cellStyle name="40% - Accent4 2 6 2 3" xfId="13071" xr:uid="{F7C16DCD-67AD-45F8-AA13-D78130FD44CC}"/>
    <cellStyle name="40% - Accent4 2 6 3" xfId="5817" xr:uid="{00000000-0005-0000-0000-0000EA050000}"/>
    <cellStyle name="40% - Accent4 2 6 3 2" xfId="15143" xr:uid="{9779FC13-F745-4209-BC0E-23730B168D69}"/>
    <cellStyle name="40% - Accent4 2 6 4" xfId="10926" xr:uid="{C3054DD7-ED07-4E9B-B766-CB024142E0A3}"/>
    <cellStyle name="40% - Accent4 2 7" xfId="1924" xr:uid="{00000000-0005-0000-0000-0000EB050000}"/>
    <cellStyle name="40% - Accent4 2 7 2" xfId="4153" xr:uid="{00000000-0005-0000-0000-0000EC050000}"/>
    <cellStyle name="40% - Accent4 2 7 2 2" xfId="8375" xr:uid="{00000000-0005-0000-0000-0000ED050000}"/>
    <cellStyle name="40% - Accent4 2 7 2 2 2" xfId="17701" xr:uid="{07894EED-5D68-4461-BCAA-C5E4FBA67A15}"/>
    <cellStyle name="40% - Accent4 2 7 2 3" xfId="13484" xr:uid="{9E21C5CE-CAF9-43DB-8922-F940A35E0863}"/>
    <cellStyle name="40% - Accent4 2 7 3" xfId="6230" xr:uid="{00000000-0005-0000-0000-0000EE050000}"/>
    <cellStyle name="40% - Accent4 2 7 3 2" xfId="15556" xr:uid="{9AEB2A90-3E99-48AF-8451-C7402D79AA80}"/>
    <cellStyle name="40% - Accent4 2 7 4" xfId="11339" xr:uid="{C94BA73B-5854-40D6-9C55-50B9012EADA0}"/>
    <cellStyle name="40% - Accent4 2 8" xfId="2337" xr:uid="{00000000-0005-0000-0000-0000EF050000}"/>
    <cellStyle name="40% - Accent4 2 8 2" xfId="6643" xr:uid="{00000000-0005-0000-0000-0000F0050000}"/>
    <cellStyle name="40% - Accent4 2 8 2 2" xfId="15969" xr:uid="{981F6DA5-152E-498D-84DE-351C5ADAD75F}"/>
    <cellStyle name="40% - Accent4 2 8 3" xfId="11752" xr:uid="{11A0F9D3-968C-4EFA-B4B4-965F540EBB8F}"/>
    <cellStyle name="40% - Accent4 2 9" xfId="4577" xr:uid="{00000000-0005-0000-0000-0000F1050000}"/>
    <cellStyle name="40% - Accent4 2 9 2" xfId="13903" xr:uid="{F51D91AF-2339-4BF8-98F5-E052F6840B85}"/>
    <cellStyle name="40% - Accent4 3" xfId="78" xr:uid="{00000000-0005-0000-0000-0000F2050000}"/>
    <cellStyle name="40% - Accent4 3 10" xfId="9690" xr:uid="{B561A159-195F-4A97-B18C-763FB795B3F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2 2 2" xfId="16467" xr:uid="{FFC9D35C-124F-4656-BED7-FA53A2C85284}"/>
    <cellStyle name="40% - Accent4 3 2 2 2 3" xfId="12250" xr:uid="{7DC114C3-6FBF-4A74-8812-909A462D7A1C}"/>
    <cellStyle name="40% - Accent4 3 2 2 3" xfId="4996" xr:uid="{00000000-0005-0000-0000-0000F7050000}"/>
    <cellStyle name="40% - Accent4 3 2 2 3 2" xfId="14322" xr:uid="{744016FE-2EE4-49FD-86FB-67B2AEF4D9F4}"/>
    <cellStyle name="40% - Accent4 3 2 2 4" xfId="9500" xr:uid="{EAAAC99F-A3A1-40FB-B78D-6862EF121B7A}"/>
    <cellStyle name="40% - Accent4 3 2 2 4 2" xfId="18815" xr:uid="{328E22F9-FB75-4AC1-B5F8-99F0231E8A33}"/>
    <cellStyle name="40% - Accent4 3 2 2 5" xfId="10105" xr:uid="{56016D50-D33B-450A-A6C6-C2882DEF0674}"/>
    <cellStyle name="40% - Accent4 3 2 3" xfId="1101" xr:uid="{00000000-0005-0000-0000-0000F8050000}"/>
    <cellStyle name="40% - Accent4 3 2 3 2" xfId="3332" xr:uid="{00000000-0005-0000-0000-0000F9050000}"/>
    <cellStyle name="40% - Accent4 3 2 3 2 2" xfId="7554" xr:uid="{00000000-0005-0000-0000-0000FA050000}"/>
    <cellStyle name="40% - Accent4 3 2 3 2 2 2" xfId="16880" xr:uid="{3C59114E-12B8-4DCB-8E03-37F57502909D}"/>
    <cellStyle name="40% - Accent4 3 2 3 2 3" xfId="12663" xr:uid="{84F4D2A7-78F3-4D40-BA5F-B0CAB87447CD}"/>
    <cellStyle name="40% - Accent4 3 2 3 3" xfId="5409" xr:uid="{00000000-0005-0000-0000-0000FB050000}"/>
    <cellStyle name="40% - Accent4 3 2 3 3 2" xfId="14735" xr:uid="{837DEA47-E4F2-4C76-AED0-9BF91B9AFE28}"/>
    <cellStyle name="40% - Accent4 3 2 3 4" xfId="10518" xr:uid="{D38AE55E-B54C-47A2-9655-135F74F963D3}"/>
    <cellStyle name="40% - Accent4 3 2 4" xfId="1515" xr:uid="{00000000-0005-0000-0000-0000FC050000}"/>
    <cellStyle name="40% - Accent4 3 2 4 2" xfId="3745" xr:uid="{00000000-0005-0000-0000-0000FD050000}"/>
    <cellStyle name="40% - Accent4 3 2 4 2 2" xfId="7967" xr:uid="{00000000-0005-0000-0000-0000FE050000}"/>
    <cellStyle name="40% - Accent4 3 2 4 2 2 2" xfId="17293" xr:uid="{6C5A5871-DB17-41CD-B9B6-35A3DB98E167}"/>
    <cellStyle name="40% - Accent4 3 2 4 2 3" xfId="13076" xr:uid="{8E93279A-E43A-4FE6-AAB4-ECA3FFA11EE5}"/>
    <cellStyle name="40% - Accent4 3 2 4 3" xfId="5822" xr:uid="{00000000-0005-0000-0000-0000FF050000}"/>
    <cellStyle name="40% - Accent4 3 2 4 3 2" xfId="15148" xr:uid="{28ABC470-7A42-47EF-8B76-97A2B3FF2F04}"/>
    <cellStyle name="40% - Accent4 3 2 4 4" xfId="10931" xr:uid="{B562CDDD-4967-4A0F-A365-8C54342E289B}"/>
    <cellStyle name="40% - Accent4 3 2 5" xfId="1929" xr:uid="{00000000-0005-0000-0000-000000060000}"/>
    <cellStyle name="40% - Accent4 3 2 5 2" xfId="4158" xr:uid="{00000000-0005-0000-0000-000001060000}"/>
    <cellStyle name="40% - Accent4 3 2 5 2 2" xfId="8380" xr:uid="{00000000-0005-0000-0000-000002060000}"/>
    <cellStyle name="40% - Accent4 3 2 5 2 2 2" xfId="17706" xr:uid="{A3BE0C70-8D27-43C0-82E8-0572F18A154D}"/>
    <cellStyle name="40% - Accent4 3 2 5 2 3" xfId="13489" xr:uid="{EC6544E4-8032-4CEE-953E-2F3B5AAF1501}"/>
    <cellStyle name="40% - Accent4 3 2 5 3" xfId="6235" xr:uid="{00000000-0005-0000-0000-000003060000}"/>
    <cellStyle name="40% - Accent4 3 2 5 3 2" xfId="15561" xr:uid="{D5D159ED-B3DF-4EA4-ABAD-48B9F2158F85}"/>
    <cellStyle name="40% - Accent4 3 2 5 4" xfId="11344" xr:uid="{5C4AE18D-7A71-4FC6-919B-EEC69B804FDA}"/>
    <cellStyle name="40% - Accent4 3 2 6" xfId="2342" xr:uid="{00000000-0005-0000-0000-000004060000}"/>
    <cellStyle name="40% - Accent4 3 2 6 2" xfId="6648" xr:uid="{00000000-0005-0000-0000-000005060000}"/>
    <cellStyle name="40% - Accent4 3 2 6 2 2" xfId="15974" xr:uid="{D9CC3EFE-047B-417B-AA0B-D6534E94532B}"/>
    <cellStyle name="40% - Accent4 3 2 6 3" xfId="11757" xr:uid="{50C9059E-9B50-4897-AAF3-6C9045BDA5D9}"/>
    <cellStyle name="40% - Accent4 3 2 7" xfId="4582" xr:uid="{00000000-0005-0000-0000-000006060000}"/>
    <cellStyle name="40% - Accent4 3 2 7 2" xfId="13908" xr:uid="{A70CEBE2-A9D3-4748-99C7-EDF70F284829}"/>
    <cellStyle name="40% - Accent4 3 2 8" xfId="9075" xr:uid="{6C51FF47-5618-4E1E-BC97-01FFF287A6C3}"/>
    <cellStyle name="40% - Accent4 3 2 8 2" xfId="18399" xr:uid="{4C757DF4-1AF6-4C0F-8D55-D3F2C9DD6D77}"/>
    <cellStyle name="40% - Accent4 3 2 9" xfId="9691" xr:uid="{BB646F9B-7935-44EB-BAEE-C4CDE61F30EE}"/>
    <cellStyle name="40% - Accent4 3 3" xfId="647" xr:uid="{00000000-0005-0000-0000-000007060000}"/>
    <cellStyle name="40% - Accent4 3 3 2" xfId="2918" xr:uid="{00000000-0005-0000-0000-000008060000}"/>
    <cellStyle name="40% - Accent4 3 3 2 2" xfId="7140" xr:uid="{00000000-0005-0000-0000-000009060000}"/>
    <cellStyle name="40% - Accent4 3 3 2 2 2" xfId="16466" xr:uid="{A40B0223-5927-4301-881D-3D5A8393434A}"/>
    <cellStyle name="40% - Accent4 3 3 2 3" xfId="12249" xr:uid="{C99AA191-BEC8-439A-9AEC-CCA2E3968266}"/>
    <cellStyle name="40% - Accent4 3 3 3" xfId="4995" xr:uid="{00000000-0005-0000-0000-00000A060000}"/>
    <cellStyle name="40% - Accent4 3 3 3 2" xfId="14321" xr:uid="{B0DA1518-4038-496B-AEAA-4E6EB6122D63}"/>
    <cellStyle name="40% - Accent4 3 3 4" xfId="9293" xr:uid="{4A28D7F5-3617-45DC-A350-6C6596CDA765}"/>
    <cellStyle name="40% - Accent4 3 3 4 2" xfId="18608" xr:uid="{9715CE3C-9930-48DB-A803-9A8692E114AA}"/>
    <cellStyle name="40% - Accent4 3 3 5" xfId="10104" xr:uid="{A2DEA555-A361-4466-B253-DBF4304E5061}"/>
    <cellStyle name="40% - Accent4 3 4" xfId="1100" xr:uid="{00000000-0005-0000-0000-00000B060000}"/>
    <cellStyle name="40% - Accent4 3 4 2" xfId="3331" xr:uid="{00000000-0005-0000-0000-00000C060000}"/>
    <cellStyle name="40% - Accent4 3 4 2 2" xfId="7553" xr:uid="{00000000-0005-0000-0000-00000D060000}"/>
    <cellStyle name="40% - Accent4 3 4 2 2 2" xfId="16879" xr:uid="{914D86A7-B3CB-47E2-8E3E-E155789D5BD7}"/>
    <cellStyle name="40% - Accent4 3 4 2 3" xfId="12662" xr:uid="{91CA905D-88AA-48D4-9AD7-EE3DD2AA0EAE}"/>
    <cellStyle name="40% - Accent4 3 4 3" xfId="5408" xr:uid="{00000000-0005-0000-0000-00000E060000}"/>
    <cellStyle name="40% - Accent4 3 4 3 2" xfId="14734" xr:uid="{E5F038DB-9E36-4427-AA96-A557C6416518}"/>
    <cellStyle name="40% - Accent4 3 4 4" xfId="10517" xr:uid="{04755787-A4E0-4A66-B488-442FC1468726}"/>
    <cellStyle name="40% - Accent4 3 5" xfId="1514" xr:uid="{00000000-0005-0000-0000-00000F060000}"/>
    <cellStyle name="40% - Accent4 3 5 2" xfId="3744" xr:uid="{00000000-0005-0000-0000-000010060000}"/>
    <cellStyle name="40% - Accent4 3 5 2 2" xfId="7966" xr:uid="{00000000-0005-0000-0000-000011060000}"/>
    <cellStyle name="40% - Accent4 3 5 2 2 2" xfId="17292" xr:uid="{5B65A903-302F-4B44-9581-00F93E85C25A}"/>
    <cellStyle name="40% - Accent4 3 5 2 3" xfId="13075" xr:uid="{2F368248-E39A-4708-B4A4-61CBB2A89CC9}"/>
    <cellStyle name="40% - Accent4 3 5 3" xfId="5821" xr:uid="{00000000-0005-0000-0000-000012060000}"/>
    <cellStyle name="40% - Accent4 3 5 3 2" xfId="15147" xr:uid="{BF2B3CD5-8866-43BF-BC32-7999741B17E4}"/>
    <cellStyle name="40% - Accent4 3 5 4" xfId="10930" xr:uid="{840F05DB-46B4-4296-A4AA-D95926B24A72}"/>
    <cellStyle name="40% - Accent4 3 6" xfId="1928" xr:uid="{00000000-0005-0000-0000-000013060000}"/>
    <cellStyle name="40% - Accent4 3 6 2" xfId="4157" xr:uid="{00000000-0005-0000-0000-000014060000}"/>
    <cellStyle name="40% - Accent4 3 6 2 2" xfId="8379" xr:uid="{00000000-0005-0000-0000-000015060000}"/>
    <cellStyle name="40% - Accent4 3 6 2 2 2" xfId="17705" xr:uid="{CCB2C7AF-5BAE-4BA2-9885-99A58F7589B0}"/>
    <cellStyle name="40% - Accent4 3 6 2 3" xfId="13488" xr:uid="{E5CFDAE4-F216-482C-AD2D-C6827227FCC1}"/>
    <cellStyle name="40% - Accent4 3 6 3" xfId="6234" xr:uid="{00000000-0005-0000-0000-000016060000}"/>
    <cellStyle name="40% - Accent4 3 6 3 2" xfId="15560" xr:uid="{A8F7DF91-E53F-4104-8F46-5FCE26141D15}"/>
    <cellStyle name="40% - Accent4 3 6 4" xfId="11343" xr:uid="{CDABF166-47F0-427B-99FE-45EA688FFF09}"/>
    <cellStyle name="40% - Accent4 3 7" xfId="2341" xr:uid="{00000000-0005-0000-0000-000017060000}"/>
    <cellStyle name="40% - Accent4 3 7 2" xfId="6647" xr:uid="{00000000-0005-0000-0000-000018060000}"/>
    <cellStyle name="40% - Accent4 3 7 2 2" xfId="15973" xr:uid="{F74CF5C4-F5E0-4A29-B4A4-D6DEC04584BD}"/>
    <cellStyle name="40% - Accent4 3 7 3" xfId="11756" xr:uid="{1609878A-2EEF-431A-B804-94BFE1E53085}"/>
    <cellStyle name="40% - Accent4 3 8" xfId="4581" xr:uid="{00000000-0005-0000-0000-000019060000}"/>
    <cellStyle name="40% - Accent4 3 8 2" xfId="13907" xr:uid="{996F4DB2-22EA-41E9-8D07-9A02BEF1371B}"/>
    <cellStyle name="40% - Accent4 3 9" xfId="8868" xr:uid="{538D9F50-ACCA-4DB0-A3F1-A129ACFFA0BF}"/>
    <cellStyle name="40% - Accent4 3 9 2" xfId="18192" xr:uid="{D4FB0B02-AF74-43DD-BA85-75DAA51CABC7}"/>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2 2 2" xfId="16468" xr:uid="{F16A7A3A-E355-49D9-9480-E7C44BB21A12}"/>
    <cellStyle name="40% - Accent4 4 2 2 3" xfId="12251" xr:uid="{2F62CBDF-87E4-41D0-92E2-2D966CD316EF}"/>
    <cellStyle name="40% - Accent4 4 2 3" xfId="4997" xr:uid="{00000000-0005-0000-0000-00001E060000}"/>
    <cellStyle name="40% - Accent4 4 2 3 2" xfId="14323" xr:uid="{D5662BB7-BC60-448A-B688-A688068D68E1}"/>
    <cellStyle name="40% - Accent4 4 2 4" xfId="9379" xr:uid="{EE31EAE0-1741-4D6E-B7B4-C5DB59044F55}"/>
    <cellStyle name="40% - Accent4 4 2 4 2" xfId="18694" xr:uid="{0F149D19-0A9E-4BD3-BB3B-0B50191BAA55}"/>
    <cellStyle name="40% - Accent4 4 2 5" xfId="10106" xr:uid="{E7EA3453-9A92-430A-9B2D-0AA66380B01F}"/>
    <cellStyle name="40% - Accent4 4 3" xfId="1102" xr:uid="{00000000-0005-0000-0000-00001F060000}"/>
    <cellStyle name="40% - Accent4 4 3 2" xfId="3333" xr:uid="{00000000-0005-0000-0000-000020060000}"/>
    <cellStyle name="40% - Accent4 4 3 2 2" xfId="7555" xr:uid="{00000000-0005-0000-0000-000021060000}"/>
    <cellStyle name="40% - Accent4 4 3 2 2 2" xfId="16881" xr:uid="{E32F162F-B464-4582-983D-4895F78E855E}"/>
    <cellStyle name="40% - Accent4 4 3 2 3" xfId="12664" xr:uid="{575B4BC7-B760-4EDC-ABCD-1624513484C5}"/>
    <cellStyle name="40% - Accent4 4 3 3" xfId="5410" xr:uid="{00000000-0005-0000-0000-000022060000}"/>
    <cellStyle name="40% - Accent4 4 3 3 2" xfId="14736" xr:uid="{8A26338E-739B-4B40-BD01-AF1C0F22D200}"/>
    <cellStyle name="40% - Accent4 4 3 4" xfId="10519" xr:uid="{B75D59C8-9A36-4A93-998A-F3CFEE383DE9}"/>
    <cellStyle name="40% - Accent4 4 4" xfId="1516" xr:uid="{00000000-0005-0000-0000-000023060000}"/>
    <cellStyle name="40% - Accent4 4 4 2" xfId="3746" xr:uid="{00000000-0005-0000-0000-000024060000}"/>
    <cellStyle name="40% - Accent4 4 4 2 2" xfId="7968" xr:uid="{00000000-0005-0000-0000-000025060000}"/>
    <cellStyle name="40% - Accent4 4 4 2 2 2" xfId="17294" xr:uid="{A3F53A25-AC81-4086-A489-A6FC4AA0B27E}"/>
    <cellStyle name="40% - Accent4 4 4 2 3" xfId="13077" xr:uid="{2A6BDCD1-67D5-4F00-B144-6210F271658D}"/>
    <cellStyle name="40% - Accent4 4 4 3" xfId="5823" xr:uid="{00000000-0005-0000-0000-000026060000}"/>
    <cellStyle name="40% - Accent4 4 4 3 2" xfId="15149" xr:uid="{0765CD54-5BD1-4FFD-9719-38AF490A75FE}"/>
    <cellStyle name="40% - Accent4 4 4 4" xfId="10932" xr:uid="{E0DD5F28-D62F-427A-919B-9C3C4E266F48}"/>
    <cellStyle name="40% - Accent4 4 5" xfId="1930" xr:uid="{00000000-0005-0000-0000-000027060000}"/>
    <cellStyle name="40% - Accent4 4 5 2" xfId="4159" xr:uid="{00000000-0005-0000-0000-000028060000}"/>
    <cellStyle name="40% - Accent4 4 5 2 2" xfId="8381" xr:uid="{00000000-0005-0000-0000-000029060000}"/>
    <cellStyle name="40% - Accent4 4 5 2 2 2" xfId="17707" xr:uid="{D6BFBAAD-0A8F-4526-9C33-0B211CC06EC9}"/>
    <cellStyle name="40% - Accent4 4 5 2 3" xfId="13490" xr:uid="{69665EC0-173B-40D0-86A2-231DF29493AE}"/>
    <cellStyle name="40% - Accent4 4 5 3" xfId="6236" xr:uid="{00000000-0005-0000-0000-00002A060000}"/>
    <cellStyle name="40% - Accent4 4 5 3 2" xfId="15562" xr:uid="{C4E7A506-E171-4792-B982-30A0D8872291}"/>
    <cellStyle name="40% - Accent4 4 5 4" xfId="11345" xr:uid="{FB2E4AFC-6F6D-4D4F-88A6-A9EB2EE51E7F}"/>
    <cellStyle name="40% - Accent4 4 6" xfId="2343" xr:uid="{00000000-0005-0000-0000-00002B060000}"/>
    <cellStyle name="40% - Accent4 4 6 2" xfId="6649" xr:uid="{00000000-0005-0000-0000-00002C060000}"/>
    <cellStyle name="40% - Accent4 4 6 2 2" xfId="15975" xr:uid="{8D3215CC-A78D-42A5-8D36-2FDF9D56A213}"/>
    <cellStyle name="40% - Accent4 4 6 3" xfId="11758" xr:uid="{DC8C9F36-6AA3-42B1-8567-925965F72376}"/>
    <cellStyle name="40% - Accent4 4 7" xfId="4583" xr:uid="{00000000-0005-0000-0000-00002D060000}"/>
    <cellStyle name="40% - Accent4 4 7 2" xfId="13909" xr:uid="{AD809B26-0D84-46BE-8460-19CD42D7EB10}"/>
    <cellStyle name="40% - Accent4 4 8" xfId="8954" xr:uid="{2C178683-58B3-4513-85E7-15FAC3AC035D}"/>
    <cellStyle name="40% - Accent4 4 8 2" xfId="18278" xr:uid="{6FDBE6AE-769E-41BF-9D99-1F4AA3840A6B}"/>
    <cellStyle name="40% - Accent4 4 9" xfId="9692" xr:uid="{732ABCBF-4A55-480E-8FAD-E743A86727D5}"/>
    <cellStyle name="40% - Accent4 5" xfId="642" xr:uid="{00000000-0005-0000-0000-00002E060000}"/>
    <cellStyle name="40% - Accent4 5 2" xfId="2913" xr:uid="{00000000-0005-0000-0000-00002F060000}"/>
    <cellStyle name="40% - Accent4 5 2 2" xfId="7135" xr:uid="{00000000-0005-0000-0000-000030060000}"/>
    <cellStyle name="40% - Accent4 5 2 2 2" xfId="16461" xr:uid="{3C016BB4-1D96-4115-8442-77EE2523DEA7}"/>
    <cellStyle name="40% - Accent4 5 2 3" xfId="12244" xr:uid="{D734789F-A6B8-4678-91F4-3D703C085FA7}"/>
    <cellStyle name="40% - Accent4 5 3" xfId="4990" xr:uid="{00000000-0005-0000-0000-000031060000}"/>
    <cellStyle name="40% - Accent4 5 3 2" xfId="14316" xr:uid="{8235BA76-4EBD-462A-A421-1AA2B702D014}"/>
    <cellStyle name="40% - Accent4 5 4" xfId="9187" xr:uid="{33022C89-0CDD-4091-8005-358F63FF8F46}"/>
    <cellStyle name="40% - Accent4 5 4 2" xfId="18505" xr:uid="{9523747F-5D77-4E3B-BF01-F9DD95287E61}"/>
    <cellStyle name="40% - Accent4 5 5" xfId="10099" xr:uid="{E5DA540C-EAD5-4389-8C71-35A15AD51DD8}"/>
    <cellStyle name="40% - Accent4 6" xfId="1095" xr:uid="{00000000-0005-0000-0000-000032060000}"/>
    <cellStyle name="40% - Accent4 6 2" xfId="3326" xr:uid="{00000000-0005-0000-0000-000033060000}"/>
    <cellStyle name="40% - Accent4 6 2 2" xfId="7548" xr:uid="{00000000-0005-0000-0000-000034060000}"/>
    <cellStyle name="40% - Accent4 6 2 2 2" xfId="16874" xr:uid="{07B00304-6982-4E87-A665-20C25C773813}"/>
    <cellStyle name="40% - Accent4 6 2 3" xfId="12657" xr:uid="{B9284960-70F7-4620-9806-08B34DDFE203}"/>
    <cellStyle name="40% - Accent4 6 3" xfId="5403" xr:uid="{00000000-0005-0000-0000-000035060000}"/>
    <cellStyle name="40% - Accent4 6 3 2" xfId="14729" xr:uid="{A478B161-F0D3-4B42-BBCF-AC2975CAC001}"/>
    <cellStyle name="40% - Accent4 6 4" xfId="10512" xr:uid="{3DBE3A19-81CC-4F10-859A-8980FC75D543}"/>
    <cellStyle name="40% - Accent4 7" xfId="1509" xr:uid="{00000000-0005-0000-0000-000036060000}"/>
    <cellStyle name="40% - Accent4 7 2" xfId="3739" xr:uid="{00000000-0005-0000-0000-000037060000}"/>
    <cellStyle name="40% - Accent4 7 2 2" xfId="7961" xr:uid="{00000000-0005-0000-0000-000038060000}"/>
    <cellStyle name="40% - Accent4 7 2 2 2" xfId="17287" xr:uid="{1E617B6E-2C32-4944-8C13-D74BD5216648}"/>
    <cellStyle name="40% - Accent4 7 2 3" xfId="13070" xr:uid="{4786127F-1402-43B4-A3C4-47EE24BB508E}"/>
    <cellStyle name="40% - Accent4 7 3" xfId="5816" xr:uid="{00000000-0005-0000-0000-000039060000}"/>
    <cellStyle name="40% - Accent4 7 3 2" xfId="15142" xr:uid="{858A6C93-8881-4E23-8F66-BF2CE625356C}"/>
    <cellStyle name="40% - Accent4 7 4" xfId="10925" xr:uid="{36C4B7D7-5DAD-4955-A898-E9E7FA0323B7}"/>
    <cellStyle name="40% - Accent4 8" xfId="1923" xr:uid="{00000000-0005-0000-0000-00003A060000}"/>
    <cellStyle name="40% - Accent4 8 2" xfId="4152" xr:uid="{00000000-0005-0000-0000-00003B060000}"/>
    <cellStyle name="40% - Accent4 8 2 2" xfId="8374" xr:uid="{00000000-0005-0000-0000-00003C060000}"/>
    <cellStyle name="40% - Accent4 8 2 2 2" xfId="17700" xr:uid="{79B54BBB-54C5-4D77-B7CA-CB3906C27661}"/>
    <cellStyle name="40% - Accent4 8 2 3" xfId="13483" xr:uid="{D6CBD861-5C91-4C10-979C-6E5C670EFAA9}"/>
    <cellStyle name="40% - Accent4 8 3" xfId="6229" xr:uid="{00000000-0005-0000-0000-00003D060000}"/>
    <cellStyle name="40% - Accent4 8 3 2" xfId="15555" xr:uid="{854B055E-DBBF-4097-8D81-9755FA618031}"/>
    <cellStyle name="40% - Accent4 8 4" xfId="11338" xr:uid="{136837DB-0F54-45C7-A400-40807ADC41E8}"/>
    <cellStyle name="40% - Accent4 9" xfId="2336" xr:uid="{00000000-0005-0000-0000-00003E060000}"/>
    <cellStyle name="40% - Accent4 9 2" xfId="6642" xr:uid="{00000000-0005-0000-0000-00003F060000}"/>
    <cellStyle name="40% - Accent4 9 2 2" xfId="15968" xr:uid="{37CF2D98-3172-4BF7-933E-46046B0CD3BE}"/>
    <cellStyle name="40% - Accent4 9 3" xfId="11751" xr:uid="{CD622983-7E2E-4EE1-A80F-2514CF03A100}"/>
    <cellStyle name="40% - Accent5" xfId="81" builtinId="47" customBuiltin="1"/>
    <cellStyle name="40% - Accent5 10" xfId="4584" xr:uid="{00000000-0005-0000-0000-000041060000}"/>
    <cellStyle name="40% - Accent5 10 2" xfId="13910" xr:uid="{67F14737-1F09-4458-B515-D1A5AF2B9089}"/>
    <cellStyle name="40% - Accent5 11" xfId="8767" xr:uid="{7A46ADF8-3420-4D4A-A3FE-8E96F0FA38E7}"/>
    <cellStyle name="40% - Accent5 11 2" xfId="18091" xr:uid="{CD088941-C0EB-49D2-B7B8-D4D365EB1EBB}"/>
    <cellStyle name="40% - Accent5 12" xfId="9693" xr:uid="{3A3A75A1-7332-47D9-AB2E-816048AFBBAC}"/>
    <cellStyle name="40% - Accent5 2" xfId="82" xr:uid="{00000000-0005-0000-0000-000042060000}"/>
    <cellStyle name="40% - Accent5 2 10" xfId="8802" xr:uid="{CF9BFF45-99AC-47A3-8B01-051C55FBB24D}"/>
    <cellStyle name="40% - Accent5 2 10 2" xfId="18126" xr:uid="{E0F4A003-AF8E-4A2E-900C-A80949A04983}"/>
    <cellStyle name="40% - Accent5 2 11" xfId="9694" xr:uid="{8B7D2E96-A47D-4676-B7F3-5E17B7B6E373}"/>
    <cellStyle name="40% - Accent5 2 2" xfId="83" xr:uid="{00000000-0005-0000-0000-000043060000}"/>
    <cellStyle name="40% - Accent5 2 2 10" xfId="9695" xr:uid="{36A7DAB4-1BEC-45FD-8702-161972BF5827}"/>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2 2 2" xfId="16472" xr:uid="{D29281E1-7B7B-4BB7-9E49-C09B13B0B521}"/>
    <cellStyle name="40% - Accent5 2 2 2 2 2 3" xfId="12255" xr:uid="{3ABE6677-929D-478C-8915-EC8316283043}"/>
    <cellStyle name="40% - Accent5 2 2 2 2 3" xfId="5001" xr:uid="{00000000-0005-0000-0000-000048060000}"/>
    <cellStyle name="40% - Accent5 2 2 2 2 3 2" xfId="14327" xr:uid="{6DC2C196-9201-4E56-AF86-4959160EB4EA}"/>
    <cellStyle name="40% - Accent5 2 2 2 2 4" xfId="9537" xr:uid="{83834145-5D3F-4083-A609-6DB90651C4CE}"/>
    <cellStyle name="40% - Accent5 2 2 2 2 4 2" xfId="18852" xr:uid="{505CA400-FA97-45E3-8403-7492F5E8A3D1}"/>
    <cellStyle name="40% - Accent5 2 2 2 2 5" xfId="10110" xr:uid="{B4839715-6ED4-4E30-BE93-6684F0B58B87}"/>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2 2 2" xfId="16885" xr:uid="{D0FF4ACD-7EA1-4C4E-8D0C-32B26722891C}"/>
    <cellStyle name="40% - Accent5 2 2 2 3 2 3" xfId="12668" xr:uid="{2AF73FF7-7536-48FE-B612-EE54661D5C70}"/>
    <cellStyle name="40% - Accent5 2 2 2 3 3" xfId="5414" xr:uid="{00000000-0005-0000-0000-00004C060000}"/>
    <cellStyle name="40% - Accent5 2 2 2 3 3 2" xfId="14740" xr:uid="{8D49EFAD-2541-4646-8239-C0531310F0AF}"/>
    <cellStyle name="40% - Accent5 2 2 2 3 4" xfId="10523" xr:uid="{75E4C83F-C6DC-49DC-9756-2254EB9613D7}"/>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2 2 2" xfId="17298" xr:uid="{2B720AEC-CAFC-4DB5-99BF-D6D4D4B8DA15}"/>
    <cellStyle name="40% - Accent5 2 2 2 4 2 3" xfId="13081" xr:uid="{1CF317DB-AFDD-4CB1-B7BE-4BD0F7D6A754}"/>
    <cellStyle name="40% - Accent5 2 2 2 4 3" xfId="5827" xr:uid="{00000000-0005-0000-0000-000050060000}"/>
    <cellStyle name="40% - Accent5 2 2 2 4 3 2" xfId="15153" xr:uid="{8EE3D3C9-9B48-4C52-8FA7-0BAB51ABF72D}"/>
    <cellStyle name="40% - Accent5 2 2 2 4 4" xfId="10936" xr:uid="{C013CE26-B80C-4BB0-886E-F5C2A0072FE6}"/>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2 2 2" xfId="17711" xr:uid="{0C8EE466-EAF5-4DEE-A044-ADB9B1BA01C6}"/>
    <cellStyle name="40% - Accent5 2 2 2 5 2 3" xfId="13494" xr:uid="{B0F4CA78-3698-4DDD-AA58-A5CF2A50AD2E}"/>
    <cellStyle name="40% - Accent5 2 2 2 5 3" xfId="6240" xr:uid="{00000000-0005-0000-0000-000054060000}"/>
    <cellStyle name="40% - Accent5 2 2 2 5 3 2" xfId="15566" xr:uid="{333967A2-A93F-4607-80DD-4F5621DE94AA}"/>
    <cellStyle name="40% - Accent5 2 2 2 5 4" xfId="11349" xr:uid="{A75F13AC-8703-46E7-BA39-D397D93A482C}"/>
    <cellStyle name="40% - Accent5 2 2 2 6" xfId="2347" xr:uid="{00000000-0005-0000-0000-000055060000}"/>
    <cellStyle name="40% - Accent5 2 2 2 6 2" xfId="6653" xr:uid="{00000000-0005-0000-0000-000056060000}"/>
    <cellStyle name="40% - Accent5 2 2 2 6 2 2" xfId="15979" xr:uid="{298A0BF1-E7BC-4756-B042-8E15F2804200}"/>
    <cellStyle name="40% - Accent5 2 2 2 6 3" xfId="11762" xr:uid="{58689E68-E5BB-4FC3-99D2-9D950863CBDE}"/>
    <cellStyle name="40% - Accent5 2 2 2 7" xfId="4587" xr:uid="{00000000-0005-0000-0000-000057060000}"/>
    <cellStyle name="40% - Accent5 2 2 2 7 2" xfId="13913" xr:uid="{D3ECE267-4C69-4EE6-81ED-9F19987F40F7}"/>
    <cellStyle name="40% - Accent5 2 2 2 8" xfId="9112" xr:uid="{65D0CC40-E9D0-4CE3-B684-8DE4A2C7BCD7}"/>
    <cellStyle name="40% - Accent5 2 2 2 8 2" xfId="18436" xr:uid="{4279B6CC-D3C4-414F-9F74-98B76D9366E7}"/>
    <cellStyle name="40% - Accent5 2 2 2 9" xfId="9696" xr:uid="{3ACAB39F-2B6D-4AA2-9A42-D36447224805}"/>
    <cellStyle name="40% - Accent5 2 2 3" xfId="652" xr:uid="{00000000-0005-0000-0000-000058060000}"/>
    <cellStyle name="40% - Accent5 2 2 3 2" xfId="2923" xr:uid="{00000000-0005-0000-0000-000059060000}"/>
    <cellStyle name="40% - Accent5 2 2 3 2 2" xfId="7145" xr:uid="{00000000-0005-0000-0000-00005A060000}"/>
    <cellStyle name="40% - Accent5 2 2 3 2 2 2" xfId="16471" xr:uid="{BE35107D-750A-459B-ADFF-B4B7D3C0DE17}"/>
    <cellStyle name="40% - Accent5 2 2 3 2 3" xfId="12254" xr:uid="{B525D91C-A991-43EC-A4FE-AFC68AF7B842}"/>
    <cellStyle name="40% - Accent5 2 2 3 3" xfId="5000" xr:uid="{00000000-0005-0000-0000-00005B060000}"/>
    <cellStyle name="40% - Accent5 2 2 3 3 2" xfId="14326" xr:uid="{909DCE1E-0877-4FE2-9C79-E1D5AF36ABD0}"/>
    <cellStyle name="40% - Accent5 2 2 3 4" xfId="9330" xr:uid="{75959B30-FD84-42A5-95AE-69048CCC8361}"/>
    <cellStyle name="40% - Accent5 2 2 3 4 2" xfId="18645" xr:uid="{A6B2A1F4-D7C1-46A4-8F75-B9A7432F4D19}"/>
    <cellStyle name="40% - Accent5 2 2 3 5" xfId="10109" xr:uid="{4C03D48E-8130-4F08-9CE8-BE943ADD9CE3}"/>
    <cellStyle name="40% - Accent5 2 2 4" xfId="1105" xr:uid="{00000000-0005-0000-0000-00005C060000}"/>
    <cellStyle name="40% - Accent5 2 2 4 2" xfId="3336" xr:uid="{00000000-0005-0000-0000-00005D060000}"/>
    <cellStyle name="40% - Accent5 2 2 4 2 2" xfId="7558" xr:uid="{00000000-0005-0000-0000-00005E060000}"/>
    <cellStyle name="40% - Accent5 2 2 4 2 2 2" xfId="16884" xr:uid="{1C07565A-6DB1-4914-B4D3-44C7F16DF8C9}"/>
    <cellStyle name="40% - Accent5 2 2 4 2 3" xfId="12667" xr:uid="{22219D16-6F15-40BC-BAC5-8C7D38E2EAC4}"/>
    <cellStyle name="40% - Accent5 2 2 4 3" xfId="5413" xr:uid="{00000000-0005-0000-0000-00005F060000}"/>
    <cellStyle name="40% - Accent5 2 2 4 3 2" xfId="14739" xr:uid="{B1757A71-DE87-424F-9A1D-6090B954DCE4}"/>
    <cellStyle name="40% - Accent5 2 2 4 4" xfId="10522" xr:uid="{3BAA7FD2-83E6-42AC-BF1A-6C02347FC1A0}"/>
    <cellStyle name="40% - Accent5 2 2 5" xfId="1519" xr:uid="{00000000-0005-0000-0000-000060060000}"/>
    <cellStyle name="40% - Accent5 2 2 5 2" xfId="3749" xr:uid="{00000000-0005-0000-0000-000061060000}"/>
    <cellStyle name="40% - Accent5 2 2 5 2 2" xfId="7971" xr:uid="{00000000-0005-0000-0000-000062060000}"/>
    <cellStyle name="40% - Accent5 2 2 5 2 2 2" xfId="17297" xr:uid="{73510C10-D30A-4C85-82E8-FDC6A0D370E8}"/>
    <cellStyle name="40% - Accent5 2 2 5 2 3" xfId="13080" xr:uid="{7DD69C99-6664-45C0-9D71-F02F1F9F6BEC}"/>
    <cellStyle name="40% - Accent5 2 2 5 3" xfId="5826" xr:uid="{00000000-0005-0000-0000-000063060000}"/>
    <cellStyle name="40% - Accent5 2 2 5 3 2" xfId="15152" xr:uid="{BFEF9E45-0119-4A41-A56B-385B4F0435B1}"/>
    <cellStyle name="40% - Accent5 2 2 5 4" xfId="10935" xr:uid="{523DE45A-2417-4832-AC59-5FDF927F61C4}"/>
    <cellStyle name="40% - Accent5 2 2 6" xfId="1933" xr:uid="{00000000-0005-0000-0000-000064060000}"/>
    <cellStyle name="40% - Accent5 2 2 6 2" xfId="4162" xr:uid="{00000000-0005-0000-0000-000065060000}"/>
    <cellStyle name="40% - Accent5 2 2 6 2 2" xfId="8384" xr:uid="{00000000-0005-0000-0000-000066060000}"/>
    <cellStyle name="40% - Accent5 2 2 6 2 2 2" xfId="17710" xr:uid="{71A7A8DD-687D-46B2-BCF5-822A9FBD5342}"/>
    <cellStyle name="40% - Accent5 2 2 6 2 3" xfId="13493" xr:uid="{1FE25F44-17B4-46C7-8743-E40DF030FFD0}"/>
    <cellStyle name="40% - Accent5 2 2 6 3" xfId="6239" xr:uid="{00000000-0005-0000-0000-000067060000}"/>
    <cellStyle name="40% - Accent5 2 2 6 3 2" xfId="15565" xr:uid="{4B7EE8C4-970D-4419-9CC4-8FBD39ECAF50}"/>
    <cellStyle name="40% - Accent5 2 2 6 4" xfId="11348" xr:uid="{E52F9F50-901C-4CF3-BCA2-67300D03018C}"/>
    <cellStyle name="40% - Accent5 2 2 7" xfId="2346" xr:uid="{00000000-0005-0000-0000-000068060000}"/>
    <cellStyle name="40% - Accent5 2 2 7 2" xfId="6652" xr:uid="{00000000-0005-0000-0000-000069060000}"/>
    <cellStyle name="40% - Accent5 2 2 7 2 2" xfId="15978" xr:uid="{9AA126F0-4C47-4BC5-801E-2F38E62D2FC8}"/>
    <cellStyle name="40% - Accent5 2 2 7 3" xfId="11761" xr:uid="{CC300865-6489-45DB-8B26-52BA9768BF4D}"/>
    <cellStyle name="40% - Accent5 2 2 8" xfId="4586" xr:uid="{00000000-0005-0000-0000-00006A060000}"/>
    <cellStyle name="40% - Accent5 2 2 8 2" xfId="13912" xr:uid="{EEB51608-93FA-4039-931B-600BFF32C885}"/>
    <cellStyle name="40% - Accent5 2 2 9" xfId="8905" xr:uid="{3B48B2AE-2C2B-47FB-A8F4-43FECCDBCFEF}"/>
    <cellStyle name="40% - Accent5 2 2 9 2" xfId="18229" xr:uid="{D9E01ED1-1518-43FF-BBF5-9B5EDA504CE2}"/>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2 2 2" xfId="16473" xr:uid="{1D8B9735-EB9C-47CB-9315-B2F6BCF6F74E}"/>
    <cellStyle name="40% - Accent5 2 3 2 2 3" xfId="12256" xr:uid="{F0858623-B214-4293-B69D-085D2685A90A}"/>
    <cellStyle name="40% - Accent5 2 3 2 3" xfId="5002" xr:uid="{00000000-0005-0000-0000-00006F060000}"/>
    <cellStyle name="40% - Accent5 2 3 2 3 2" xfId="14328" xr:uid="{509653BF-3B98-44B5-9C63-435407416EF8}"/>
    <cellStyle name="40% - Accent5 2 3 2 4" xfId="9434" xr:uid="{512EAA64-F150-4B15-8534-EB34D6D41408}"/>
    <cellStyle name="40% - Accent5 2 3 2 4 2" xfId="18749" xr:uid="{591B3665-15A8-4436-9A57-A6E218B02CBC}"/>
    <cellStyle name="40% - Accent5 2 3 2 5" xfId="10111" xr:uid="{34C1F16F-4FE1-4D68-9D17-32AB2D5DFB91}"/>
    <cellStyle name="40% - Accent5 2 3 3" xfId="1107" xr:uid="{00000000-0005-0000-0000-000070060000}"/>
    <cellStyle name="40% - Accent5 2 3 3 2" xfId="3338" xr:uid="{00000000-0005-0000-0000-000071060000}"/>
    <cellStyle name="40% - Accent5 2 3 3 2 2" xfId="7560" xr:uid="{00000000-0005-0000-0000-000072060000}"/>
    <cellStyle name="40% - Accent5 2 3 3 2 2 2" xfId="16886" xr:uid="{65DC3ABE-483A-4BE9-AF32-42F1B979127F}"/>
    <cellStyle name="40% - Accent5 2 3 3 2 3" xfId="12669" xr:uid="{97287625-D74B-4188-A5A8-E0696EDF1D35}"/>
    <cellStyle name="40% - Accent5 2 3 3 3" xfId="5415" xr:uid="{00000000-0005-0000-0000-000073060000}"/>
    <cellStyle name="40% - Accent5 2 3 3 3 2" xfId="14741" xr:uid="{ED1BDC2C-3FC6-4E7A-BDBE-AF32680C5BBD}"/>
    <cellStyle name="40% - Accent5 2 3 3 4" xfId="10524" xr:uid="{2DABC5A5-2BD8-4007-8535-C00C97F3DBDB}"/>
    <cellStyle name="40% - Accent5 2 3 4" xfId="1521" xr:uid="{00000000-0005-0000-0000-000074060000}"/>
    <cellStyle name="40% - Accent5 2 3 4 2" xfId="3751" xr:uid="{00000000-0005-0000-0000-000075060000}"/>
    <cellStyle name="40% - Accent5 2 3 4 2 2" xfId="7973" xr:uid="{00000000-0005-0000-0000-000076060000}"/>
    <cellStyle name="40% - Accent5 2 3 4 2 2 2" xfId="17299" xr:uid="{310E1948-2379-4529-9481-A5B6573A10DF}"/>
    <cellStyle name="40% - Accent5 2 3 4 2 3" xfId="13082" xr:uid="{E6BE4BAD-1348-4EF2-AD30-E3F91CA1AC99}"/>
    <cellStyle name="40% - Accent5 2 3 4 3" xfId="5828" xr:uid="{00000000-0005-0000-0000-000077060000}"/>
    <cellStyle name="40% - Accent5 2 3 4 3 2" xfId="15154" xr:uid="{982C5FD2-8709-4E4E-8FE5-CC2FB3EA4BC6}"/>
    <cellStyle name="40% - Accent5 2 3 4 4" xfId="10937" xr:uid="{8E8C1077-81A9-4D1E-9CC2-613FF033CC6E}"/>
    <cellStyle name="40% - Accent5 2 3 5" xfId="1935" xr:uid="{00000000-0005-0000-0000-000078060000}"/>
    <cellStyle name="40% - Accent5 2 3 5 2" xfId="4164" xr:uid="{00000000-0005-0000-0000-000079060000}"/>
    <cellStyle name="40% - Accent5 2 3 5 2 2" xfId="8386" xr:uid="{00000000-0005-0000-0000-00007A060000}"/>
    <cellStyle name="40% - Accent5 2 3 5 2 2 2" xfId="17712" xr:uid="{3BD92881-56CF-41F3-B6D9-0FC463C1069B}"/>
    <cellStyle name="40% - Accent5 2 3 5 2 3" xfId="13495" xr:uid="{3BFEDA41-5A88-47AC-BA51-D6BD389E11C9}"/>
    <cellStyle name="40% - Accent5 2 3 5 3" xfId="6241" xr:uid="{00000000-0005-0000-0000-00007B060000}"/>
    <cellStyle name="40% - Accent5 2 3 5 3 2" xfId="15567" xr:uid="{A87DA6B7-DD07-4AAC-95D1-7286A27BB36F}"/>
    <cellStyle name="40% - Accent5 2 3 5 4" xfId="11350" xr:uid="{01DFDAC4-E744-4072-8D3D-EEF49C7954F9}"/>
    <cellStyle name="40% - Accent5 2 3 6" xfId="2348" xr:uid="{00000000-0005-0000-0000-00007C060000}"/>
    <cellStyle name="40% - Accent5 2 3 6 2" xfId="6654" xr:uid="{00000000-0005-0000-0000-00007D060000}"/>
    <cellStyle name="40% - Accent5 2 3 6 2 2" xfId="15980" xr:uid="{CAA6A75B-F7E1-4B6F-8A30-E01C5DFD92A3}"/>
    <cellStyle name="40% - Accent5 2 3 6 3" xfId="11763" xr:uid="{DE51EAEE-DD23-4F7B-A54B-DB67B62A448E}"/>
    <cellStyle name="40% - Accent5 2 3 7" xfId="4588" xr:uid="{00000000-0005-0000-0000-00007E060000}"/>
    <cellStyle name="40% - Accent5 2 3 7 2" xfId="13914" xr:uid="{177B5B81-1397-4AF1-9779-AB6869D6E4AE}"/>
    <cellStyle name="40% - Accent5 2 3 8" xfId="9009" xr:uid="{DE8B6E41-761F-4ED0-BA8A-00A6A898A2FC}"/>
    <cellStyle name="40% - Accent5 2 3 8 2" xfId="18333" xr:uid="{53C7DE60-296F-4238-93E4-F0BF913A2C96}"/>
    <cellStyle name="40% - Accent5 2 3 9" xfId="9697" xr:uid="{F050C46D-8EDF-4D0B-8640-B25A3E1D2F91}"/>
    <cellStyle name="40% - Accent5 2 4" xfId="651" xr:uid="{00000000-0005-0000-0000-00007F060000}"/>
    <cellStyle name="40% - Accent5 2 4 2" xfId="2922" xr:uid="{00000000-0005-0000-0000-000080060000}"/>
    <cellStyle name="40% - Accent5 2 4 2 2" xfId="7144" xr:uid="{00000000-0005-0000-0000-000081060000}"/>
    <cellStyle name="40% - Accent5 2 4 2 2 2" xfId="16470" xr:uid="{A98DF765-806E-473D-8D86-D86097A3BC65}"/>
    <cellStyle name="40% - Accent5 2 4 2 3" xfId="12253" xr:uid="{71CAE467-2E8E-4DD4-9EAA-58B12D986931}"/>
    <cellStyle name="40% - Accent5 2 4 3" xfId="4999" xr:uid="{00000000-0005-0000-0000-000082060000}"/>
    <cellStyle name="40% - Accent5 2 4 3 2" xfId="14325" xr:uid="{5DF544D0-7089-404F-866A-61982C6F8EF9}"/>
    <cellStyle name="40% - Accent5 2 4 4" xfId="9226" xr:uid="{6A688709-D29B-458C-973B-231279FAFEF5}"/>
    <cellStyle name="40% - Accent5 2 4 4 2" xfId="18542" xr:uid="{AB7F4C08-A93D-4A3C-975B-C8A9E52B7D7F}"/>
    <cellStyle name="40% - Accent5 2 4 5" xfId="10108" xr:uid="{6F98D557-95C2-4533-B425-B5BFCA8A83AB}"/>
    <cellStyle name="40% - Accent5 2 5" xfId="1104" xr:uid="{00000000-0005-0000-0000-000083060000}"/>
    <cellStyle name="40% - Accent5 2 5 2" xfId="3335" xr:uid="{00000000-0005-0000-0000-000084060000}"/>
    <cellStyle name="40% - Accent5 2 5 2 2" xfId="7557" xr:uid="{00000000-0005-0000-0000-000085060000}"/>
    <cellStyle name="40% - Accent5 2 5 2 2 2" xfId="16883" xr:uid="{C7EF1615-7C90-4E88-9080-FC4CA7A44915}"/>
    <cellStyle name="40% - Accent5 2 5 2 3" xfId="12666" xr:uid="{B9B83E21-D0BA-40B1-B036-F69D789ACF69}"/>
    <cellStyle name="40% - Accent5 2 5 3" xfId="5412" xr:uid="{00000000-0005-0000-0000-000086060000}"/>
    <cellStyle name="40% - Accent5 2 5 3 2" xfId="14738" xr:uid="{1E9C9A3B-8A64-4CAB-82A2-4DA29DA7283C}"/>
    <cellStyle name="40% - Accent5 2 5 4" xfId="10521" xr:uid="{F3174613-2E99-4E27-8A52-DA0B456E5640}"/>
    <cellStyle name="40% - Accent5 2 6" xfId="1518" xr:uid="{00000000-0005-0000-0000-000087060000}"/>
    <cellStyle name="40% - Accent5 2 6 2" xfId="3748" xr:uid="{00000000-0005-0000-0000-000088060000}"/>
    <cellStyle name="40% - Accent5 2 6 2 2" xfId="7970" xr:uid="{00000000-0005-0000-0000-000089060000}"/>
    <cellStyle name="40% - Accent5 2 6 2 2 2" xfId="17296" xr:uid="{7C373B8F-E411-4853-A0D4-2A1DFC94ECE7}"/>
    <cellStyle name="40% - Accent5 2 6 2 3" xfId="13079" xr:uid="{FED50226-48DD-4397-8E63-0019F0BA0F45}"/>
    <cellStyle name="40% - Accent5 2 6 3" xfId="5825" xr:uid="{00000000-0005-0000-0000-00008A060000}"/>
    <cellStyle name="40% - Accent5 2 6 3 2" xfId="15151" xr:uid="{7C44E13A-8A00-4338-8F90-5891AEF2468A}"/>
    <cellStyle name="40% - Accent5 2 6 4" xfId="10934" xr:uid="{0042B383-3097-4648-92B7-B907986A07A2}"/>
    <cellStyle name="40% - Accent5 2 7" xfId="1932" xr:uid="{00000000-0005-0000-0000-00008B060000}"/>
    <cellStyle name="40% - Accent5 2 7 2" xfId="4161" xr:uid="{00000000-0005-0000-0000-00008C060000}"/>
    <cellStyle name="40% - Accent5 2 7 2 2" xfId="8383" xr:uid="{00000000-0005-0000-0000-00008D060000}"/>
    <cellStyle name="40% - Accent5 2 7 2 2 2" xfId="17709" xr:uid="{DE0F32FF-3E9E-4520-B33F-E2B2EA03B782}"/>
    <cellStyle name="40% - Accent5 2 7 2 3" xfId="13492" xr:uid="{D3FA67AA-29A6-488A-9A5B-651308741939}"/>
    <cellStyle name="40% - Accent5 2 7 3" xfId="6238" xr:uid="{00000000-0005-0000-0000-00008E060000}"/>
    <cellStyle name="40% - Accent5 2 7 3 2" xfId="15564" xr:uid="{9126F8F5-C4B1-4AA4-B32A-43A626400DB6}"/>
    <cellStyle name="40% - Accent5 2 7 4" xfId="11347" xr:uid="{B84C7A34-ABD5-4238-B725-8FDCDE10B980}"/>
    <cellStyle name="40% - Accent5 2 8" xfId="2345" xr:uid="{00000000-0005-0000-0000-00008F060000}"/>
    <cellStyle name="40% - Accent5 2 8 2" xfId="6651" xr:uid="{00000000-0005-0000-0000-000090060000}"/>
    <cellStyle name="40% - Accent5 2 8 2 2" xfId="15977" xr:uid="{09D525B7-9766-42E6-B0B4-020733312BC3}"/>
    <cellStyle name="40% - Accent5 2 8 3" xfId="11760" xr:uid="{0590450A-FC86-40B9-A230-17DB15BCC169}"/>
    <cellStyle name="40% - Accent5 2 9" xfId="4585" xr:uid="{00000000-0005-0000-0000-000091060000}"/>
    <cellStyle name="40% - Accent5 2 9 2" xfId="13911" xr:uid="{17407D67-F124-4A53-B089-6CD788BA6A86}"/>
    <cellStyle name="40% - Accent5 3" xfId="86" xr:uid="{00000000-0005-0000-0000-000092060000}"/>
    <cellStyle name="40% - Accent5 3 10" xfId="9698" xr:uid="{A79B8BBE-BD6F-4CFA-A189-01BB897A748D}"/>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2 2 2" xfId="16475" xr:uid="{1470778F-C4C9-47E8-A989-006ECBE08413}"/>
    <cellStyle name="40% - Accent5 3 2 2 2 3" xfId="12258" xr:uid="{5888C419-319A-48A2-B200-AFD6EC6A9CC3}"/>
    <cellStyle name="40% - Accent5 3 2 2 3" xfId="5004" xr:uid="{00000000-0005-0000-0000-000097060000}"/>
    <cellStyle name="40% - Accent5 3 2 2 3 2" xfId="14330" xr:uid="{5A82243C-7E97-4F28-8FC0-E8397FA80D2F}"/>
    <cellStyle name="40% - Accent5 3 2 2 4" xfId="9502" xr:uid="{96903B0D-DCFE-4149-8088-461BCB03A73B}"/>
    <cellStyle name="40% - Accent5 3 2 2 4 2" xfId="18817" xr:uid="{C66F3D46-857D-4237-9317-97059F1B3D71}"/>
    <cellStyle name="40% - Accent5 3 2 2 5" xfId="10113" xr:uid="{F1023EB1-B5F6-4DA4-AFAF-1468B613B1C1}"/>
    <cellStyle name="40% - Accent5 3 2 3" xfId="1109" xr:uid="{00000000-0005-0000-0000-000098060000}"/>
    <cellStyle name="40% - Accent5 3 2 3 2" xfId="3340" xr:uid="{00000000-0005-0000-0000-000099060000}"/>
    <cellStyle name="40% - Accent5 3 2 3 2 2" xfId="7562" xr:uid="{00000000-0005-0000-0000-00009A060000}"/>
    <cellStyle name="40% - Accent5 3 2 3 2 2 2" xfId="16888" xr:uid="{4BE6BF0E-8DBF-4E6C-8503-22E61E3453EB}"/>
    <cellStyle name="40% - Accent5 3 2 3 2 3" xfId="12671" xr:uid="{91D140AF-CC64-44F5-8398-28D0B56399F4}"/>
    <cellStyle name="40% - Accent5 3 2 3 3" xfId="5417" xr:uid="{00000000-0005-0000-0000-00009B060000}"/>
    <cellStyle name="40% - Accent5 3 2 3 3 2" xfId="14743" xr:uid="{06DB95D8-E6D1-4F15-948C-AB91F2A51D0A}"/>
    <cellStyle name="40% - Accent5 3 2 3 4" xfId="10526" xr:uid="{E722550D-F92B-486B-80E4-1AAC7EAD4721}"/>
    <cellStyle name="40% - Accent5 3 2 4" xfId="1523" xr:uid="{00000000-0005-0000-0000-00009C060000}"/>
    <cellStyle name="40% - Accent5 3 2 4 2" xfId="3753" xr:uid="{00000000-0005-0000-0000-00009D060000}"/>
    <cellStyle name="40% - Accent5 3 2 4 2 2" xfId="7975" xr:uid="{00000000-0005-0000-0000-00009E060000}"/>
    <cellStyle name="40% - Accent5 3 2 4 2 2 2" xfId="17301" xr:uid="{08185FF1-F642-4925-B1D1-27ADE2CE9193}"/>
    <cellStyle name="40% - Accent5 3 2 4 2 3" xfId="13084" xr:uid="{617374E4-5E4E-4AFA-A3CE-79F2C72D7826}"/>
    <cellStyle name="40% - Accent5 3 2 4 3" xfId="5830" xr:uid="{00000000-0005-0000-0000-00009F060000}"/>
    <cellStyle name="40% - Accent5 3 2 4 3 2" xfId="15156" xr:uid="{40195F2D-A164-49E7-B00B-38306BB2E7D1}"/>
    <cellStyle name="40% - Accent5 3 2 4 4" xfId="10939" xr:uid="{CFA4B8DB-91B8-48AA-A8EF-C9DD8BAE4E1D}"/>
    <cellStyle name="40% - Accent5 3 2 5" xfId="1937" xr:uid="{00000000-0005-0000-0000-0000A0060000}"/>
    <cellStyle name="40% - Accent5 3 2 5 2" xfId="4166" xr:uid="{00000000-0005-0000-0000-0000A1060000}"/>
    <cellStyle name="40% - Accent5 3 2 5 2 2" xfId="8388" xr:uid="{00000000-0005-0000-0000-0000A2060000}"/>
    <cellStyle name="40% - Accent5 3 2 5 2 2 2" xfId="17714" xr:uid="{BCC823B1-859E-4C16-8034-22D65915AEE2}"/>
    <cellStyle name="40% - Accent5 3 2 5 2 3" xfId="13497" xr:uid="{4244D20E-7B61-4B27-A0C2-FDB5D1DB15A1}"/>
    <cellStyle name="40% - Accent5 3 2 5 3" xfId="6243" xr:uid="{00000000-0005-0000-0000-0000A3060000}"/>
    <cellStyle name="40% - Accent5 3 2 5 3 2" xfId="15569" xr:uid="{654D81D6-F9FA-49D2-BAFE-DF570FB8F4D5}"/>
    <cellStyle name="40% - Accent5 3 2 5 4" xfId="11352" xr:uid="{C5E953CF-AFB5-4EB5-B286-450C7D535849}"/>
    <cellStyle name="40% - Accent5 3 2 6" xfId="2350" xr:uid="{00000000-0005-0000-0000-0000A4060000}"/>
    <cellStyle name="40% - Accent5 3 2 6 2" xfId="6656" xr:uid="{00000000-0005-0000-0000-0000A5060000}"/>
    <cellStyle name="40% - Accent5 3 2 6 2 2" xfId="15982" xr:uid="{9F01B2CD-CAB6-455A-AC28-E75F9E93C9B6}"/>
    <cellStyle name="40% - Accent5 3 2 6 3" xfId="11765" xr:uid="{AC2D2B31-E489-4D7E-A49D-D5869A135FB4}"/>
    <cellStyle name="40% - Accent5 3 2 7" xfId="4590" xr:uid="{00000000-0005-0000-0000-0000A6060000}"/>
    <cellStyle name="40% - Accent5 3 2 7 2" xfId="13916" xr:uid="{08195696-10E4-4B6D-A9CF-884BDD3942C3}"/>
    <cellStyle name="40% - Accent5 3 2 8" xfId="9077" xr:uid="{8842DD15-54E4-487D-B492-3A505722387C}"/>
    <cellStyle name="40% - Accent5 3 2 8 2" xfId="18401" xr:uid="{29B44F12-7C44-4568-A13D-E762B10D1EF2}"/>
    <cellStyle name="40% - Accent5 3 2 9" xfId="9699" xr:uid="{DD3EE8FE-FC50-49A0-B6B2-6561E37E624F}"/>
    <cellStyle name="40% - Accent5 3 3" xfId="655" xr:uid="{00000000-0005-0000-0000-0000A7060000}"/>
    <cellStyle name="40% - Accent5 3 3 2" xfId="2926" xr:uid="{00000000-0005-0000-0000-0000A8060000}"/>
    <cellStyle name="40% - Accent5 3 3 2 2" xfId="7148" xr:uid="{00000000-0005-0000-0000-0000A9060000}"/>
    <cellStyle name="40% - Accent5 3 3 2 2 2" xfId="16474" xr:uid="{B5747DDC-98D0-4F7E-BAAB-46C4D6DFEA13}"/>
    <cellStyle name="40% - Accent5 3 3 2 3" xfId="12257" xr:uid="{DD68CAFD-2A58-483F-B576-F9458076E22A}"/>
    <cellStyle name="40% - Accent5 3 3 3" xfId="5003" xr:uid="{00000000-0005-0000-0000-0000AA060000}"/>
    <cellStyle name="40% - Accent5 3 3 3 2" xfId="14329" xr:uid="{B5D21AB5-3FF8-4464-8D04-FAFC24C72C01}"/>
    <cellStyle name="40% - Accent5 3 3 4" xfId="9295" xr:uid="{0D42C89E-252E-426A-8E1F-7D3AD6B9FE55}"/>
    <cellStyle name="40% - Accent5 3 3 4 2" xfId="18610" xr:uid="{F4880AC2-F580-46D5-8BAF-B3719498650C}"/>
    <cellStyle name="40% - Accent5 3 3 5" xfId="10112" xr:uid="{76F12613-2B3C-4578-AA99-26A42A8CE654}"/>
    <cellStyle name="40% - Accent5 3 4" xfId="1108" xr:uid="{00000000-0005-0000-0000-0000AB060000}"/>
    <cellStyle name="40% - Accent5 3 4 2" xfId="3339" xr:uid="{00000000-0005-0000-0000-0000AC060000}"/>
    <cellStyle name="40% - Accent5 3 4 2 2" xfId="7561" xr:uid="{00000000-0005-0000-0000-0000AD060000}"/>
    <cellStyle name="40% - Accent5 3 4 2 2 2" xfId="16887" xr:uid="{17576FDB-A960-4E73-9FE3-D2E58880A70E}"/>
    <cellStyle name="40% - Accent5 3 4 2 3" xfId="12670" xr:uid="{EB54B96E-45D7-4AEB-A895-9B3C0B84D0D6}"/>
    <cellStyle name="40% - Accent5 3 4 3" xfId="5416" xr:uid="{00000000-0005-0000-0000-0000AE060000}"/>
    <cellStyle name="40% - Accent5 3 4 3 2" xfId="14742" xr:uid="{D086C99E-E342-492E-9100-C37335EE9532}"/>
    <cellStyle name="40% - Accent5 3 4 4" xfId="10525" xr:uid="{56DE637D-E795-4D6D-A848-59C93F4C5298}"/>
    <cellStyle name="40% - Accent5 3 5" xfId="1522" xr:uid="{00000000-0005-0000-0000-0000AF060000}"/>
    <cellStyle name="40% - Accent5 3 5 2" xfId="3752" xr:uid="{00000000-0005-0000-0000-0000B0060000}"/>
    <cellStyle name="40% - Accent5 3 5 2 2" xfId="7974" xr:uid="{00000000-0005-0000-0000-0000B1060000}"/>
    <cellStyle name="40% - Accent5 3 5 2 2 2" xfId="17300" xr:uid="{3646BD9D-B12F-4100-8F03-F730636651BB}"/>
    <cellStyle name="40% - Accent5 3 5 2 3" xfId="13083" xr:uid="{027DD5CF-799D-43B3-8D1A-0F0BFDB66B10}"/>
    <cellStyle name="40% - Accent5 3 5 3" xfId="5829" xr:uid="{00000000-0005-0000-0000-0000B2060000}"/>
    <cellStyle name="40% - Accent5 3 5 3 2" xfId="15155" xr:uid="{24760A54-9274-427F-9D0B-0B4DB2B73D35}"/>
    <cellStyle name="40% - Accent5 3 5 4" xfId="10938" xr:uid="{8909A8CD-1D57-483F-A1E7-6F4F674DD6A2}"/>
    <cellStyle name="40% - Accent5 3 6" xfId="1936" xr:uid="{00000000-0005-0000-0000-0000B3060000}"/>
    <cellStyle name="40% - Accent5 3 6 2" xfId="4165" xr:uid="{00000000-0005-0000-0000-0000B4060000}"/>
    <cellStyle name="40% - Accent5 3 6 2 2" xfId="8387" xr:uid="{00000000-0005-0000-0000-0000B5060000}"/>
    <cellStyle name="40% - Accent5 3 6 2 2 2" xfId="17713" xr:uid="{DDA587B3-E597-47B3-8CEC-388283F3FE30}"/>
    <cellStyle name="40% - Accent5 3 6 2 3" xfId="13496" xr:uid="{7270F938-34F1-4DE6-805E-00CD48311278}"/>
    <cellStyle name="40% - Accent5 3 6 3" xfId="6242" xr:uid="{00000000-0005-0000-0000-0000B6060000}"/>
    <cellStyle name="40% - Accent5 3 6 3 2" xfId="15568" xr:uid="{BAB3ECFB-5F06-492A-85F2-92B7248FBCEF}"/>
    <cellStyle name="40% - Accent5 3 6 4" xfId="11351" xr:uid="{4D001EC7-126B-44BB-AED7-2C02FD8998B9}"/>
    <cellStyle name="40% - Accent5 3 7" xfId="2349" xr:uid="{00000000-0005-0000-0000-0000B7060000}"/>
    <cellStyle name="40% - Accent5 3 7 2" xfId="6655" xr:uid="{00000000-0005-0000-0000-0000B8060000}"/>
    <cellStyle name="40% - Accent5 3 7 2 2" xfId="15981" xr:uid="{424BD161-36AB-4BBC-B51B-99866CE565F9}"/>
    <cellStyle name="40% - Accent5 3 7 3" xfId="11764" xr:uid="{8707723D-FF99-4157-8B2A-BC14D457A9B6}"/>
    <cellStyle name="40% - Accent5 3 8" xfId="4589" xr:uid="{00000000-0005-0000-0000-0000B9060000}"/>
    <cellStyle name="40% - Accent5 3 8 2" xfId="13915" xr:uid="{4FFF6A53-DC86-42AF-BCC6-FA9E113B4DCD}"/>
    <cellStyle name="40% - Accent5 3 9" xfId="8870" xr:uid="{F7DB5D96-1272-4D48-B3B6-48053CFCBA44}"/>
    <cellStyle name="40% - Accent5 3 9 2" xfId="18194" xr:uid="{880AB44F-8A3C-41C5-8EAF-9792C67C2F79}"/>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2 2 2" xfId="16476" xr:uid="{D1A15067-0D63-4234-AB82-5A0E872980E0}"/>
    <cellStyle name="40% - Accent5 4 2 2 3" xfId="12259" xr:uid="{97E6336D-9024-4775-BA59-6A95FCDC0414}"/>
    <cellStyle name="40% - Accent5 4 2 3" xfId="5005" xr:uid="{00000000-0005-0000-0000-0000BE060000}"/>
    <cellStyle name="40% - Accent5 4 2 3 2" xfId="14331" xr:uid="{65C6603D-603A-4CC5-B041-BE11C6FE037A}"/>
    <cellStyle name="40% - Accent5 4 2 4" xfId="9381" xr:uid="{6D86932C-AFC4-4FF0-967D-0F56E90E02E1}"/>
    <cellStyle name="40% - Accent5 4 2 4 2" xfId="18696" xr:uid="{56E355A7-1F91-49A3-98C7-EA8CEC780895}"/>
    <cellStyle name="40% - Accent5 4 2 5" xfId="10114" xr:uid="{194C363E-6D13-4E04-90EB-52EEDE51E6AA}"/>
    <cellStyle name="40% - Accent5 4 3" xfId="1110" xr:uid="{00000000-0005-0000-0000-0000BF060000}"/>
    <cellStyle name="40% - Accent5 4 3 2" xfId="3341" xr:uid="{00000000-0005-0000-0000-0000C0060000}"/>
    <cellStyle name="40% - Accent5 4 3 2 2" xfId="7563" xr:uid="{00000000-0005-0000-0000-0000C1060000}"/>
    <cellStyle name="40% - Accent5 4 3 2 2 2" xfId="16889" xr:uid="{3D9E7131-126D-46D9-BD18-8D94AB2F9A1F}"/>
    <cellStyle name="40% - Accent5 4 3 2 3" xfId="12672" xr:uid="{E405E132-54D8-471C-A06D-089C6D90F5C6}"/>
    <cellStyle name="40% - Accent5 4 3 3" xfId="5418" xr:uid="{00000000-0005-0000-0000-0000C2060000}"/>
    <cellStyle name="40% - Accent5 4 3 3 2" xfId="14744" xr:uid="{CF87CDA1-0B80-4A15-9229-516D43853D5B}"/>
    <cellStyle name="40% - Accent5 4 3 4" xfId="10527" xr:uid="{D17B03E0-74DB-4E14-8C25-BF344446C9F6}"/>
    <cellStyle name="40% - Accent5 4 4" xfId="1524" xr:uid="{00000000-0005-0000-0000-0000C3060000}"/>
    <cellStyle name="40% - Accent5 4 4 2" xfId="3754" xr:uid="{00000000-0005-0000-0000-0000C4060000}"/>
    <cellStyle name="40% - Accent5 4 4 2 2" xfId="7976" xr:uid="{00000000-0005-0000-0000-0000C5060000}"/>
    <cellStyle name="40% - Accent5 4 4 2 2 2" xfId="17302" xr:uid="{DD49EA2A-820B-40A2-B08B-2E5FC683F9E5}"/>
    <cellStyle name="40% - Accent5 4 4 2 3" xfId="13085" xr:uid="{700C08E1-1FCC-422A-835D-712033BEE5AF}"/>
    <cellStyle name="40% - Accent5 4 4 3" xfId="5831" xr:uid="{00000000-0005-0000-0000-0000C6060000}"/>
    <cellStyle name="40% - Accent5 4 4 3 2" xfId="15157" xr:uid="{5E55534C-2ED8-45D1-A1D1-1D3E1D0EAC17}"/>
    <cellStyle name="40% - Accent5 4 4 4" xfId="10940" xr:uid="{75EF7982-CF47-4C63-A8DF-0D4B3E976C7F}"/>
    <cellStyle name="40% - Accent5 4 5" xfId="1938" xr:uid="{00000000-0005-0000-0000-0000C7060000}"/>
    <cellStyle name="40% - Accent5 4 5 2" xfId="4167" xr:uid="{00000000-0005-0000-0000-0000C8060000}"/>
    <cellStyle name="40% - Accent5 4 5 2 2" xfId="8389" xr:uid="{00000000-0005-0000-0000-0000C9060000}"/>
    <cellStyle name="40% - Accent5 4 5 2 2 2" xfId="17715" xr:uid="{366B5E9B-9D18-4014-9CE1-E71EFE05A86E}"/>
    <cellStyle name="40% - Accent5 4 5 2 3" xfId="13498" xr:uid="{92C5B08C-A012-4273-AB51-C72102AC5046}"/>
    <cellStyle name="40% - Accent5 4 5 3" xfId="6244" xr:uid="{00000000-0005-0000-0000-0000CA060000}"/>
    <cellStyle name="40% - Accent5 4 5 3 2" xfId="15570" xr:uid="{05DFEE63-24B9-4D64-B9CC-62C60FC4CC8B}"/>
    <cellStyle name="40% - Accent5 4 5 4" xfId="11353" xr:uid="{0B8B127A-6680-4956-A2CD-A988F77A8D08}"/>
    <cellStyle name="40% - Accent5 4 6" xfId="2351" xr:uid="{00000000-0005-0000-0000-0000CB060000}"/>
    <cellStyle name="40% - Accent5 4 6 2" xfId="6657" xr:uid="{00000000-0005-0000-0000-0000CC060000}"/>
    <cellStyle name="40% - Accent5 4 6 2 2" xfId="15983" xr:uid="{A66F8706-BEB4-4B58-9029-9974241EA627}"/>
    <cellStyle name="40% - Accent5 4 6 3" xfId="11766" xr:uid="{EBA3F242-2496-4121-B013-5D64FFF3509D}"/>
    <cellStyle name="40% - Accent5 4 7" xfId="4591" xr:uid="{00000000-0005-0000-0000-0000CD060000}"/>
    <cellStyle name="40% - Accent5 4 7 2" xfId="13917" xr:uid="{6CF1F63C-E3C9-41CB-9762-E70B76260654}"/>
    <cellStyle name="40% - Accent5 4 8" xfId="8956" xr:uid="{20EBAEFE-DF5E-4B38-878B-CDA5BD3DABC1}"/>
    <cellStyle name="40% - Accent5 4 8 2" xfId="18280" xr:uid="{0C784F0F-72DD-4D03-B47D-003B07824923}"/>
    <cellStyle name="40% - Accent5 4 9" xfId="9700" xr:uid="{51C3EF5F-8950-41F7-A57E-68AB20AC3443}"/>
    <cellStyle name="40% - Accent5 5" xfId="650" xr:uid="{00000000-0005-0000-0000-0000CE060000}"/>
    <cellStyle name="40% - Accent5 5 2" xfId="2921" xr:uid="{00000000-0005-0000-0000-0000CF060000}"/>
    <cellStyle name="40% - Accent5 5 2 2" xfId="7143" xr:uid="{00000000-0005-0000-0000-0000D0060000}"/>
    <cellStyle name="40% - Accent5 5 2 2 2" xfId="16469" xr:uid="{CAB5B2F3-A114-49F2-8D58-C8F4383B0E5B}"/>
    <cellStyle name="40% - Accent5 5 2 3" xfId="12252" xr:uid="{D1DCC55C-AA67-4C76-8049-A68CCE1BB660}"/>
    <cellStyle name="40% - Accent5 5 3" xfId="4998" xr:uid="{00000000-0005-0000-0000-0000D1060000}"/>
    <cellStyle name="40% - Accent5 5 3 2" xfId="14324" xr:uid="{7D3B061E-2AF6-47C2-85D3-B35633254C14}"/>
    <cellStyle name="40% - Accent5 5 4" xfId="9189" xr:uid="{AE9A155E-B06B-4FF1-8984-8F7810581B15}"/>
    <cellStyle name="40% - Accent5 5 4 2" xfId="18507" xr:uid="{CB216547-404B-40C1-B711-A418129BD914}"/>
    <cellStyle name="40% - Accent5 5 5" xfId="10107" xr:uid="{E1D54F5D-1D3B-4177-8392-5DB94B8A7789}"/>
    <cellStyle name="40% - Accent5 6" xfId="1103" xr:uid="{00000000-0005-0000-0000-0000D2060000}"/>
    <cellStyle name="40% - Accent5 6 2" xfId="3334" xr:uid="{00000000-0005-0000-0000-0000D3060000}"/>
    <cellStyle name="40% - Accent5 6 2 2" xfId="7556" xr:uid="{00000000-0005-0000-0000-0000D4060000}"/>
    <cellStyle name="40% - Accent5 6 2 2 2" xfId="16882" xr:uid="{C6817004-CFAA-4569-B26E-6C4532E06D9C}"/>
    <cellStyle name="40% - Accent5 6 2 3" xfId="12665" xr:uid="{0F3C1D5C-331B-4044-9DB0-29A813BB491A}"/>
    <cellStyle name="40% - Accent5 6 3" xfId="5411" xr:uid="{00000000-0005-0000-0000-0000D5060000}"/>
    <cellStyle name="40% - Accent5 6 3 2" xfId="14737" xr:uid="{ADBB7A9D-034D-4D21-B0FB-9E7B9BF78DA5}"/>
    <cellStyle name="40% - Accent5 6 4" xfId="10520" xr:uid="{1361C317-75C9-4187-89FC-417680A69707}"/>
    <cellStyle name="40% - Accent5 7" xfId="1517" xr:uid="{00000000-0005-0000-0000-0000D6060000}"/>
    <cellStyle name="40% - Accent5 7 2" xfId="3747" xr:uid="{00000000-0005-0000-0000-0000D7060000}"/>
    <cellStyle name="40% - Accent5 7 2 2" xfId="7969" xr:uid="{00000000-0005-0000-0000-0000D8060000}"/>
    <cellStyle name="40% - Accent5 7 2 2 2" xfId="17295" xr:uid="{9B4D72A0-D65A-4D40-A00C-35B8F7600FAD}"/>
    <cellStyle name="40% - Accent5 7 2 3" xfId="13078" xr:uid="{0913AB84-8263-4763-9FE7-5915B84D1459}"/>
    <cellStyle name="40% - Accent5 7 3" xfId="5824" xr:uid="{00000000-0005-0000-0000-0000D9060000}"/>
    <cellStyle name="40% - Accent5 7 3 2" xfId="15150" xr:uid="{EFE030E9-54F6-4BF7-AD98-46CDC79B05E0}"/>
    <cellStyle name="40% - Accent5 7 4" xfId="10933" xr:uid="{8A474CDF-A199-4411-8985-129808289CEC}"/>
    <cellStyle name="40% - Accent5 8" xfId="1931" xr:uid="{00000000-0005-0000-0000-0000DA060000}"/>
    <cellStyle name="40% - Accent5 8 2" xfId="4160" xr:uid="{00000000-0005-0000-0000-0000DB060000}"/>
    <cellStyle name="40% - Accent5 8 2 2" xfId="8382" xr:uid="{00000000-0005-0000-0000-0000DC060000}"/>
    <cellStyle name="40% - Accent5 8 2 2 2" xfId="17708" xr:uid="{956F88C0-2366-409A-8D62-4D5F46B19465}"/>
    <cellStyle name="40% - Accent5 8 2 3" xfId="13491" xr:uid="{874E4B2B-B10B-40D1-8963-9010381D8F16}"/>
    <cellStyle name="40% - Accent5 8 3" xfId="6237" xr:uid="{00000000-0005-0000-0000-0000DD060000}"/>
    <cellStyle name="40% - Accent5 8 3 2" xfId="15563" xr:uid="{8FE3175F-BD8D-4C71-9FCD-4AAC99586BBB}"/>
    <cellStyle name="40% - Accent5 8 4" xfId="11346" xr:uid="{0D4174C6-0337-4886-809F-3713CF71E89F}"/>
    <cellStyle name="40% - Accent5 9" xfId="2344" xr:uid="{00000000-0005-0000-0000-0000DE060000}"/>
    <cellStyle name="40% - Accent5 9 2" xfId="6650" xr:uid="{00000000-0005-0000-0000-0000DF060000}"/>
    <cellStyle name="40% - Accent5 9 2 2" xfId="15976" xr:uid="{276A8EB7-BEAC-4E0B-95C4-47D0FD775008}"/>
    <cellStyle name="40% - Accent5 9 3" xfId="11759" xr:uid="{F83D2816-3925-46CB-AEAC-2E8508067336}"/>
    <cellStyle name="40% - Accent6" xfId="89" builtinId="51" customBuiltin="1"/>
    <cellStyle name="40% - Accent6 10" xfId="4592" xr:uid="{00000000-0005-0000-0000-0000E1060000}"/>
    <cellStyle name="40% - Accent6 10 2" xfId="13918" xr:uid="{DA034F21-B2E2-4C23-90FD-AA4E44F71E10}"/>
    <cellStyle name="40% - Accent6 11" xfId="8769" xr:uid="{8369FE49-3815-490F-BF3A-3BEB88E35DFA}"/>
    <cellStyle name="40% - Accent6 11 2" xfId="18093" xr:uid="{A8711EE2-902E-4F28-BCA7-5EC1771D555A}"/>
    <cellStyle name="40% - Accent6 12" xfId="9701" xr:uid="{8AAC6159-BFDA-4020-918C-94D8FA7E6B26}"/>
    <cellStyle name="40% - Accent6 2" xfId="90" xr:uid="{00000000-0005-0000-0000-0000E2060000}"/>
    <cellStyle name="40% - Accent6 2 10" xfId="8803" xr:uid="{3530B69D-EB1D-41EA-A6FB-440FE4FE29AB}"/>
    <cellStyle name="40% - Accent6 2 10 2" xfId="18127" xr:uid="{44621C38-D4F2-4FB3-B527-24B5C64DA747}"/>
    <cellStyle name="40% - Accent6 2 11" xfId="9702" xr:uid="{DBFD71CE-8321-4D57-9B1E-662C6BC9A5AB}"/>
    <cellStyle name="40% - Accent6 2 2" xfId="91" xr:uid="{00000000-0005-0000-0000-0000E3060000}"/>
    <cellStyle name="40% - Accent6 2 2 10" xfId="9703" xr:uid="{3AB512F8-9E7D-404B-B656-125DF76EDE13}"/>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2 2 2" xfId="16480" xr:uid="{7C7D45AE-9B9E-454E-BD3C-94ABA7D00DA7}"/>
    <cellStyle name="40% - Accent6 2 2 2 2 2 3" xfId="12263" xr:uid="{F982644C-0848-47AC-B07E-DA51F944B07D}"/>
    <cellStyle name="40% - Accent6 2 2 2 2 3" xfId="5009" xr:uid="{00000000-0005-0000-0000-0000E8060000}"/>
    <cellStyle name="40% - Accent6 2 2 2 2 3 2" xfId="14335" xr:uid="{B36FA8BE-5F82-4776-BF25-7F2398E1DE02}"/>
    <cellStyle name="40% - Accent6 2 2 2 2 4" xfId="9538" xr:uid="{D1801D0B-FDF1-4C59-8DE2-DEC53081BC5D}"/>
    <cellStyle name="40% - Accent6 2 2 2 2 4 2" xfId="18853" xr:uid="{D902C9CB-7D8C-47E5-B668-86C8DEE13065}"/>
    <cellStyle name="40% - Accent6 2 2 2 2 5" xfId="10118" xr:uid="{9D47ABCB-E82B-46B2-9981-3633F0278A86}"/>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2 2 2" xfId="16893" xr:uid="{207DD406-DBAA-4FC6-A201-310F6B78630F}"/>
    <cellStyle name="40% - Accent6 2 2 2 3 2 3" xfId="12676" xr:uid="{F5835DF6-AF4E-4251-AD43-9764DCDFA8E7}"/>
    <cellStyle name="40% - Accent6 2 2 2 3 3" xfId="5422" xr:uid="{00000000-0005-0000-0000-0000EC060000}"/>
    <cellStyle name="40% - Accent6 2 2 2 3 3 2" xfId="14748" xr:uid="{8BC597AA-7042-477D-A67A-1220D397826B}"/>
    <cellStyle name="40% - Accent6 2 2 2 3 4" xfId="10531" xr:uid="{C6629A69-9131-4824-B31E-2C9AE6BB93E5}"/>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2 2 2" xfId="17306" xr:uid="{84FC2FA1-8B71-4E09-BDE8-D758513D23E7}"/>
    <cellStyle name="40% - Accent6 2 2 2 4 2 3" xfId="13089" xr:uid="{F326EE55-BE40-44F4-AFC3-A11C864C1D02}"/>
    <cellStyle name="40% - Accent6 2 2 2 4 3" xfId="5835" xr:uid="{00000000-0005-0000-0000-0000F0060000}"/>
    <cellStyle name="40% - Accent6 2 2 2 4 3 2" xfId="15161" xr:uid="{78F16701-BE81-469D-B3F3-E530B630ED34}"/>
    <cellStyle name="40% - Accent6 2 2 2 4 4" xfId="10944" xr:uid="{65DE7B15-4063-4194-928E-C9A576E9296D}"/>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2 2 2" xfId="17719" xr:uid="{82110966-8549-4840-A72A-EB5EFF760C9E}"/>
    <cellStyle name="40% - Accent6 2 2 2 5 2 3" xfId="13502" xr:uid="{66673CED-72E6-4B01-917F-CA2C4B515CEB}"/>
    <cellStyle name="40% - Accent6 2 2 2 5 3" xfId="6248" xr:uid="{00000000-0005-0000-0000-0000F4060000}"/>
    <cellStyle name="40% - Accent6 2 2 2 5 3 2" xfId="15574" xr:uid="{897A294D-627C-46B1-B18D-00EED9192578}"/>
    <cellStyle name="40% - Accent6 2 2 2 5 4" xfId="11357" xr:uid="{1694DC3F-CD3C-4D40-8E9B-B62DC53AD631}"/>
    <cellStyle name="40% - Accent6 2 2 2 6" xfId="2355" xr:uid="{00000000-0005-0000-0000-0000F5060000}"/>
    <cellStyle name="40% - Accent6 2 2 2 6 2" xfId="6661" xr:uid="{00000000-0005-0000-0000-0000F6060000}"/>
    <cellStyle name="40% - Accent6 2 2 2 6 2 2" xfId="15987" xr:uid="{E7D26A7B-305B-4C10-BFB5-C66D12C9A772}"/>
    <cellStyle name="40% - Accent6 2 2 2 6 3" xfId="11770" xr:uid="{766860C4-6F2A-4647-B24B-06C0558F3D62}"/>
    <cellStyle name="40% - Accent6 2 2 2 7" xfId="4595" xr:uid="{00000000-0005-0000-0000-0000F7060000}"/>
    <cellStyle name="40% - Accent6 2 2 2 7 2" xfId="13921" xr:uid="{F414E93D-2D25-4792-AD69-23DB9B478969}"/>
    <cellStyle name="40% - Accent6 2 2 2 8" xfId="9113" xr:uid="{D9373B4A-E1DA-437A-874A-FCE4D00708EB}"/>
    <cellStyle name="40% - Accent6 2 2 2 8 2" xfId="18437" xr:uid="{FC960D72-20D6-4B6A-9761-6FA117BA2040}"/>
    <cellStyle name="40% - Accent6 2 2 2 9" xfId="9704" xr:uid="{F93090A2-0680-43BF-99DD-7DC8DED99633}"/>
    <cellStyle name="40% - Accent6 2 2 3" xfId="660" xr:uid="{00000000-0005-0000-0000-0000F8060000}"/>
    <cellStyle name="40% - Accent6 2 2 3 2" xfId="2931" xr:uid="{00000000-0005-0000-0000-0000F9060000}"/>
    <cellStyle name="40% - Accent6 2 2 3 2 2" xfId="7153" xr:uid="{00000000-0005-0000-0000-0000FA060000}"/>
    <cellStyle name="40% - Accent6 2 2 3 2 2 2" xfId="16479" xr:uid="{6DBCF582-4EF1-4E1E-9131-CBF1EE196E36}"/>
    <cellStyle name="40% - Accent6 2 2 3 2 3" xfId="12262" xr:uid="{E9999BA3-86EB-4249-8ECE-EC9DED1C840A}"/>
    <cellStyle name="40% - Accent6 2 2 3 3" xfId="5008" xr:uid="{00000000-0005-0000-0000-0000FB060000}"/>
    <cellStyle name="40% - Accent6 2 2 3 3 2" xfId="14334" xr:uid="{5449FFCA-23E8-437B-B5D7-40099D58F611}"/>
    <cellStyle name="40% - Accent6 2 2 3 4" xfId="9331" xr:uid="{223B62DA-AA8A-4703-B6D5-D6AA8918B034}"/>
    <cellStyle name="40% - Accent6 2 2 3 4 2" xfId="18646" xr:uid="{CA337960-8DA1-407C-9AB7-D213742BAEB9}"/>
    <cellStyle name="40% - Accent6 2 2 3 5" xfId="10117" xr:uid="{B7182AF9-A8A3-4456-8303-CC93E7DBEAD8}"/>
    <cellStyle name="40% - Accent6 2 2 4" xfId="1113" xr:uid="{00000000-0005-0000-0000-0000FC060000}"/>
    <cellStyle name="40% - Accent6 2 2 4 2" xfId="3344" xr:uid="{00000000-0005-0000-0000-0000FD060000}"/>
    <cellStyle name="40% - Accent6 2 2 4 2 2" xfId="7566" xr:uid="{00000000-0005-0000-0000-0000FE060000}"/>
    <cellStyle name="40% - Accent6 2 2 4 2 2 2" xfId="16892" xr:uid="{C5490E6C-B6EA-4207-9BC1-C5478A713B05}"/>
    <cellStyle name="40% - Accent6 2 2 4 2 3" xfId="12675" xr:uid="{B88420EA-4A01-48E4-A60B-C7F033073295}"/>
    <cellStyle name="40% - Accent6 2 2 4 3" xfId="5421" xr:uid="{00000000-0005-0000-0000-0000FF060000}"/>
    <cellStyle name="40% - Accent6 2 2 4 3 2" xfId="14747" xr:uid="{E1B09388-91F7-4BCC-B7AD-26223B0888E9}"/>
    <cellStyle name="40% - Accent6 2 2 4 4" xfId="10530" xr:uid="{800047DA-B034-4839-938F-401D78BDAC05}"/>
    <cellStyle name="40% - Accent6 2 2 5" xfId="1527" xr:uid="{00000000-0005-0000-0000-000000070000}"/>
    <cellStyle name="40% - Accent6 2 2 5 2" xfId="3757" xr:uid="{00000000-0005-0000-0000-000001070000}"/>
    <cellStyle name="40% - Accent6 2 2 5 2 2" xfId="7979" xr:uid="{00000000-0005-0000-0000-000002070000}"/>
    <cellStyle name="40% - Accent6 2 2 5 2 2 2" xfId="17305" xr:uid="{4B953D76-5C48-4364-9AAD-A9248DE569D3}"/>
    <cellStyle name="40% - Accent6 2 2 5 2 3" xfId="13088" xr:uid="{CC0A93BA-7105-478B-BC0C-9B3380B91D53}"/>
    <cellStyle name="40% - Accent6 2 2 5 3" xfId="5834" xr:uid="{00000000-0005-0000-0000-000003070000}"/>
    <cellStyle name="40% - Accent6 2 2 5 3 2" xfId="15160" xr:uid="{74828D96-0DE5-464E-9E9B-6E0389878136}"/>
    <cellStyle name="40% - Accent6 2 2 5 4" xfId="10943" xr:uid="{4F674710-C3F1-4FE4-941D-038CE5BA6EA0}"/>
    <cellStyle name="40% - Accent6 2 2 6" xfId="1941" xr:uid="{00000000-0005-0000-0000-000004070000}"/>
    <cellStyle name="40% - Accent6 2 2 6 2" xfId="4170" xr:uid="{00000000-0005-0000-0000-000005070000}"/>
    <cellStyle name="40% - Accent6 2 2 6 2 2" xfId="8392" xr:uid="{00000000-0005-0000-0000-000006070000}"/>
    <cellStyle name="40% - Accent6 2 2 6 2 2 2" xfId="17718" xr:uid="{19FA248F-6F0E-4AA6-BF05-43EDD771B723}"/>
    <cellStyle name="40% - Accent6 2 2 6 2 3" xfId="13501" xr:uid="{5B09A64D-A7E3-44B8-BD24-E4287FF6B798}"/>
    <cellStyle name="40% - Accent6 2 2 6 3" xfId="6247" xr:uid="{00000000-0005-0000-0000-000007070000}"/>
    <cellStyle name="40% - Accent6 2 2 6 3 2" xfId="15573" xr:uid="{4C623308-2465-404F-AE7A-2847312C3716}"/>
    <cellStyle name="40% - Accent6 2 2 6 4" xfId="11356" xr:uid="{95AEF62F-D7E3-4D6B-AEFE-4DF1E662FF42}"/>
    <cellStyle name="40% - Accent6 2 2 7" xfId="2354" xr:uid="{00000000-0005-0000-0000-000008070000}"/>
    <cellStyle name="40% - Accent6 2 2 7 2" xfId="6660" xr:uid="{00000000-0005-0000-0000-000009070000}"/>
    <cellStyle name="40% - Accent6 2 2 7 2 2" xfId="15986" xr:uid="{34827B9D-6378-4B8A-9D1E-5508AA896EE7}"/>
    <cellStyle name="40% - Accent6 2 2 7 3" xfId="11769" xr:uid="{329351DF-8ECE-49B1-92BB-F5F14CFE75FC}"/>
    <cellStyle name="40% - Accent6 2 2 8" xfId="4594" xr:uid="{00000000-0005-0000-0000-00000A070000}"/>
    <cellStyle name="40% - Accent6 2 2 8 2" xfId="13920" xr:uid="{DD7D8DD1-8BE1-4E7B-8BC1-FA3842ACE4A4}"/>
    <cellStyle name="40% - Accent6 2 2 9" xfId="8906" xr:uid="{C30FCA09-BA1A-4F54-9397-4FC676425C46}"/>
    <cellStyle name="40% - Accent6 2 2 9 2" xfId="18230" xr:uid="{AEB0DEB3-E8BA-49C6-8428-ACF98D38C350}"/>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2 2 2" xfId="16481" xr:uid="{9C1ACBB4-E4F3-4E83-81F5-BFF44DF9770F}"/>
    <cellStyle name="40% - Accent6 2 3 2 2 3" xfId="12264" xr:uid="{9F60A933-7974-464F-A981-E2483B105A77}"/>
    <cellStyle name="40% - Accent6 2 3 2 3" xfId="5010" xr:uid="{00000000-0005-0000-0000-00000F070000}"/>
    <cellStyle name="40% - Accent6 2 3 2 3 2" xfId="14336" xr:uid="{8F64A24A-CB52-474F-B9C8-EBE69A6299F9}"/>
    <cellStyle name="40% - Accent6 2 3 2 4" xfId="9435" xr:uid="{36535681-1736-4584-8CB6-F8F38C9E0E5B}"/>
    <cellStyle name="40% - Accent6 2 3 2 4 2" xfId="18750" xr:uid="{C4F2B3EA-25D3-420E-BAEB-F2C3E61424BB}"/>
    <cellStyle name="40% - Accent6 2 3 2 5" xfId="10119" xr:uid="{6DD35407-FA86-4A61-AEC8-367DEDE8C86F}"/>
    <cellStyle name="40% - Accent6 2 3 3" xfId="1115" xr:uid="{00000000-0005-0000-0000-000010070000}"/>
    <cellStyle name="40% - Accent6 2 3 3 2" xfId="3346" xr:uid="{00000000-0005-0000-0000-000011070000}"/>
    <cellStyle name="40% - Accent6 2 3 3 2 2" xfId="7568" xr:uid="{00000000-0005-0000-0000-000012070000}"/>
    <cellStyle name="40% - Accent6 2 3 3 2 2 2" xfId="16894" xr:uid="{434B9B32-40ED-4755-9974-3D35055E3A5A}"/>
    <cellStyle name="40% - Accent6 2 3 3 2 3" xfId="12677" xr:uid="{A888E451-569A-4C7B-A5B1-85BFAF4CD3CA}"/>
    <cellStyle name="40% - Accent6 2 3 3 3" xfId="5423" xr:uid="{00000000-0005-0000-0000-000013070000}"/>
    <cellStyle name="40% - Accent6 2 3 3 3 2" xfId="14749" xr:uid="{3E25BFF1-9CF3-48BF-8FB9-A01A33B12252}"/>
    <cellStyle name="40% - Accent6 2 3 3 4" xfId="10532" xr:uid="{4418307F-78DC-40F5-9948-3C2ED11BB3E6}"/>
    <cellStyle name="40% - Accent6 2 3 4" xfId="1529" xr:uid="{00000000-0005-0000-0000-000014070000}"/>
    <cellStyle name="40% - Accent6 2 3 4 2" xfId="3759" xr:uid="{00000000-0005-0000-0000-000015070000}"/>
    <cellStyle name="40% - Accent6 2 3 4 2 2" xfId="7981" xr:uid="{00000000-0005-0000-0000-000016070000}"/>
    <cellStyle name="40% - Accent6 2 3 4 2 2 2" xfId="17307" xr:uid="{EDF42FCA-6405-41D4-876A-57BF3362407C}"/>
    <cellStyle name="40% - Accent6 2 3 4 2 3" xfId="13090" xr:uid="{B0F4294D-B6BD-4235-9FA8-51AAEBAC3D28}"/>
    <cellStyle name="40% - Accent6 2 3 4 3" xfId="5836" xr:uid="{00000000-0005-0000-0000-000017070000}"/>
    <cellStyle name="40% - Accent6 2 3 4 3 2" xfId="15162" xr:uid="{8808A03D-BFCD-48FF-ACB9-CA25AEB814E8}"/>
    <cellStyle name="40% - Accent6 2 3 4 4" xfId="10945" xr:uid="{A693F080-896E-4B51-8F75-A18C20D804F3}"/>
    <cellStyle name="40% - Accent6 2 3 5" xfId="1943" xr:uid="{00000000-0005-0000-0000-000018070000}"/>
    <cellStyle name="40% - Accent6 2 3 5 2" xfId="4172" xr:uid="{00000000-0005-0000-0000-000019070000}"/>
    <cellStyle name="40% - Accent6 2 3 5 2 2" xfId="8394" xr:uid="{00000000-0005-0000-0000-00001A070000}"/>
    <cellStyle name="40% - Accent6 2 3 5 2 2 2" xfId="17720" xr:uid="{61815A40-13C3-48A9-A248-2FD17A486EB2}"/>
    <cellStyle name="40% - Accent6 2 3 5 2 3" xfId="13503" xr:uid="{FF8095EA-CB7D-4217-B7C7-37554886B4E1}"/>
    <cellStyle name="40% - Accent6 2 3 5 3" xfId="6249" xr:uid="{00000000-0005-0000-0000-00001B070000}"/>
    <cellStyle name="40% - Accent6 2 3 5 3 2" xfId="15575" xr:uid="{02F3C92D-031D-401F-8598-9DE812A7D933}"/>
    <cellStyle name="40% - Accent6 2 3 5 4" xfId="11358" xr:uid="{602073E0-DC12-4C0F-BF09-9405227706C4}"/>
    <cellStyle name="40% - Accent6 2 3 6" xfId="2356" xr:uid="{00000000-0005-0000-0000-00001C070000}"/>
    <cellStyle name="40% - Accent6 2 3 6 2" xfId="6662" xr:uid="{00000000-0005-0000-0000-00001D070000}"/>
    <cellStyle name="40% - Accent6 2 3 6 2 2" xfId="15988" xr:uid="{4511F539-20C7-4C37-9595-21F747BE181A}"/>
    <cellStyle name="40% - Accent6 2 3 6 3" xfId="11771" xr:uid="{C62F82BC-FCC0-4725-8B98-1D3B82E43081}"/>
    <cellStyle name="40% - Accent6 2 3 7" xfId="4596" xr:uid="{00000000-0005-0000-0000-00001E070000}"/>
    <cellStyle name="40% - Accent6 2 3 7 2" xfId="13922" xr:uid="{8CC89DBF-C698-4E7B-9028-35F8F9085E0C}"/>
    <cellStyle name="40% - Accent6 2 3 8" xfId="9010" xr:uid="{63E1B5F8-FE5F-441F-B768-94B1D98CB2B1}"/>
    <cellStyle name="40% - Accent6 2 3 8 2" xfId="18334" xr:uid="{A1394972-F48C-4C5A-9DD5-9CA2C58AB760}"/>
    <cellStyle name="40% - Accent6 2 3 9" xfId="9705" xr:uid="{181378D2-2698-4BCF-B656-47E702232A72}"/>
    <cellStyle name="40% - Accent6 2 4" xfId="659" xr:uid="{00000000-0005-0000-0000-00001F070000}"/>
    <cellStyle name="40% - Accent6 2 4 2" xfId="2930" xr:uid="{00000000-0005-0000-0000-000020070000}"/>
    <cellStyle name="40% - Accent6 2 4 2 2" xfId="7152" xr:uid="{00000000-0005-0000-0000-000021070000}"/>
    <cellStyle name="40% - Accent6 2 4 2 2 2" xfId="16478" xr:uid="{BE0E7434-7C83-4A74-A650-AC03AA31B063}"/>
    <cellStyle name="40% - Accent6 2 4 2 3" xfId="12261" xr:uid="{4C39EB3E-A3B2-4170-BB64-CC8C4CAED2B4}"/>
    <cellStyle name="40% - Accent6 2 4 3" xfId="5007" xr:uid="{00000000-0005-0000-0000-000022070000}"/>
    <cellStyle name="40% - Accent6 2 4 3 2" xfId="14333" xr:uid="{A1782F81-686A-4F88-A172-BFF9A25F47BC}"/>
    <cellStyle name="40% - Accent6 2 4 4" xfId="9227" xr:uid="{61BC3AC1-FAE9-47DF-8143-7EECE05FF8D3}"/>
    <cellStyle name="40% - Accent6 2 4 4 2" xfId="18543" xr:uid="{110FAFE5-2FAC-4E0C-9734-0FCF9ADC9739}"/>
    <cellStyle name="40% - Accent6 2 4 5" xfId="10116" xr:uid="{31A8BF97-3F00-48B0-860A-89D525848EB7}"/>
    <cellStyle name="40% - Accent6 2 5" xfId="1112" xr:uid="{00000000-0005-0000-0000-000023070000}"/>
    <cellStyle name="40% - Accent6 2 5 2" xfId="3343" xr:uid="{00000000-0005-0000-0000-000024070000}"/>
    <cellStyle name="40% - Accent6 2 5 2 2" xfId="7565" xr:uid="{00000000-0005-0000-0000-000025070000}"/>
    <cellStyle name="40% - Accent6 2 5 2 2 2" xfId="16891" xr:uid="{193152DC-FCAB-48FE-BDB6-55966B7AE68D}"/>
    <cellStyle name="40% - Accent6 2 5 2 3" xfId="12674" xr:uid="{98627CED-76B8-406F-AE52-033A5736E5B0}"/>
    <cellStyle name="40% - Accent6 2 5 3" xfId="5420" xr:uid="{00000000-0005-0000-0000-000026070000}"/>
    <cellStyle name="40% - Accent6 2 5 3 2" xfId="14746" xr:uid="{4D6D9FE1-4815-4E37-A739-FC7B59BCB73E}"/>
    <cellStyle name="40% - Accent6 2 5 4" xfId="10529" xr:uid="{31E24463-A577-427F-9889-1BD39BA8226C}"/>
    <cellStyle name="40% - Accent6 2 6" xfId="1526" xr:uid="{00000000-0005-0000-0000-000027070000}"/>
    <cellStyle name="40% - Accent6 2 6 2" xfId="3756" xr:uid="{00000000-0005-0000-0000-000028070000}"/>
    <cellStyle name="40% - Accent6 2 6 2 2" xfId="7978" xr:uid="{00000000-0005-0000-0000-000029070000}"/>
    <cellStyle name="40% - Accent6 2 6 2 2 2" xfId="17304" xr:uid="{3BDE5AB7-FCFF-4CAC-A9E0-5B4F23FBBEE7}"/>
    <cellStyle name="40% - Accent6 2 6 2 3" xfId="13087" xr:uid="{4BA91F73-26C5-44F6-83CD-C17A2BA2589F}"/>
    <cellStyle name="40% - Accent6 2 6 3" xfId="5833" xr:uid="{00000000-0005-0000-0000-00002A070000}"/>
    <cellStyle name="40% - Accent6 2 6 3 2" xfId="15159" xr:uid="{7E07EBA7-5389-4A31-AD38-1CEC7A371DAD}"/>
    <cellStyle name="40% - Accent6 2 6 4" xfId="10942" xr:uid="{E09EE720-429B-49EF-B3BF-F5AB971F2180}"/>
    <cellStyle name="40% - Accent6 2 7" xfId="1940" xr:uid="{00000000-0005-0000-0000-00002B070000}"/>
    <cellStyle name="40% - Accent6 2 7 2" xfId="4169" xr:uid="{00000000-0005-0000-0000-00002C070000}"/>
    <cellStyle name="40% - Accent6 2 7 2 2" xfId="8391" xr:uid="{00000000-0005-0000-0000-00002D070000}"/>
    <cellStyle name="40% - Accent6 2 7 2 2 2" xfId="17717" xr:uid="{5F4D047E-21EF-4445-8004-23788CD910D9}"/>
    <cellStyle name="40% - Accent6 2 7 2 3" xfId="13500" xr:uid="{A734D739-6779-47B0-9C78-FC3AB20AF79F}"/>
    <cellStyle name="40% - Accent6 2 7 3" xfId="6246" xr:uid="{00000000-0005-0000-0000-00002E070000}"/>
    <cellStyle name="40% - Accent6 2 7 3 2" xfId="15572" xr:uid="{F339BD85-BEF1-46AC-9918-1F668C39591C}"/>
    <cellStyle name="40% - Accent6 2 7 4" xfId="11355" xr:uid="{C0699891-084B-4E30-8A5E-5CD81BADA524}"/>
    <cellStyle name="40% - Accent6 2 8" xfId="2353" xr:uid="{00000000-0005-0000-0000-00002F070000}"/>
    <cellStyle name="40% - Accent6 2 8 2" xfId="6659" xr:uid="{00000000-0005-0000-0000-000030070000}"/>
    <cellStyle name="40% - Accent6 2 8 2 2" xfId="15985" xr:uid="{A34E679C-92F5-4C41-943C-04FDA01A2704}"/>
    <cellStyle name="40% - Accent6 2 8 3" xfId="11768" xr:uid="{7745F935-AEA2-4C30-AFD6-4A60AE3E2E70}"/>
    <cellStyle name="40% - Accent6 2 9" xfId="4593" xr:uid="{00000000-0005-0000-0000-000031070000}"/>
    <cellStyle name="40% - Accent6 2 9 2" xfId="13919" xr:uid="{90208A5E-C8CD-4381-9486-096A5C1A4E06}"/>
    <cellStyle name="40% - Accent6 3" xfId="94" xr:uid="{00000000-0005-0000-0000-000032070000}"/>
    <cellStyle name="40% - Accent6 3 10" xfId="9706" xr:uid="{3C01E618-6CCC-482C-AE19-B8AC9EA654A5}"/>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2 2 2" xfId="16483" xr:uid="{C1412F8B-597A-4C2C-9CE5-B7F5A4F375B5}"/>
    <cellStyle name="40% - Accent6 3 2 2 2 3" xfId="12266" xr:uid="{DD82781B-92CE-4A66-8F55-AEEE93F83EFC}"/>
    <cellStyle name="40% - Accent6 3 2 2 3" xfId="5012" xr:uid="{00000000-0005-0000-0000-000037070000}"/>
    <cellStyle name="40% - Accent6 3 2 2 3 2" xfId="14338" xr:uid="{1240D897-D9DD-42BA-ADC1-8C3BF0D9A1D2}"/>
    <cellStyle name="40% - Accent6 3 2 2 4" xfId="9504" xr:uid="{23E46585-FD8F-4BA3-8B65-284D6884E4FD}"/>
    <cellStyle name="40% - Accent6 3 2 2 4 2" xfId="18819" xr:uid="{0A32A376-AD41-41C6-8BC4-12E9D05A33EE}"/>
    <cellStyle name="40% - Accent6 3 2 2 5" xfId="10121" xr:uid="{D59B63D1-8172-40DB-8E22-974F953EF9B5}"/>
    <cellStyle name="40% - Accent6 3 2 3" xfId="1117" xr:uid="{00000000-0005-0000-0000-000038070000}"/>
    <cellStyle name="40% - Accent6 3 2 3 2" xfId="3348" xr:uid="{00000000-0005-0000-0000-000039070000}"/>
    <cellStyle name="40% - Accent6 3 2 3 2 2" xfId="7570" xr:uid="{00000000-0005-0000-0000-00003A070000}"/>
    <cellStyle name="40% - Accent6 3 2 3 2 2 2" xfId="16896" xr:uid="{23A5D7B3-F0A2-4512-8D36-6459BBC0FB13}"/>
    <cellStyle name="40% - Accent6 3 2 3 2 3" xfId="12679" xr:uid="{9B9C7ED3-6D8F-4520-9C1B-A41AD020BF78}"/>
    <cellStyle name="40% - Accent6 3 2 3 3" xfId="5425" xr:uid="{00000000-0005-0000-0000-00003B070000}"/>
    <cellStyle name="40% - Accent6 3 2 3 3 2" xfId="14751" xr:uid="{5422B761-4492-48A8-BE1D-E3C596BD21BA}"/>
    <cellStyle name="40% - Accent6 3 2 3 4" xfId="10534" xr:uid="{6183BB34-F0F7-4367-80C0-633180E2AAA4}"/>
    <cellStyle name="40% - Accent6 3 2 4" xfId="1531" xr:uid="{00000000-0005-0000-0000-00003C070000}"/>
    <cellStyle name="40% - Accent6 3 2 4 2" xfId="3761" xr:uid="{00000000-0005-0000-0000-00003D070000}"/>
    <cellStyle name="40% - Accent6 3 2 4 2 2" xfId="7983" xr:uid="{00000000-0005-0000-0000-00003E070000}"/>
    <cellStyle name="40% - Accent6 3 2 4 2 2 2" xfId="17309" xr:uid="{6E6C596B-0136-4B57-9524-3C9A942F9EF5}"/>
    <cellStyle name="40% - Accent6 3 2 4 2 3" xfId="13092" xr:uid="{BBACF089-B524-4D52-A029-8931426FA26B}"/>
    <cellStyle name="40% - Accent6 3 2 4 3" xfId="5838" xr:uid="{00000000-0005-0000-0000-00003F070000}"/>
    <cellStyle name="40% - Accent6 3 2 4 3 2" xfId="15164" xr:uid="{DBD19789-5044-4BDB-9AB8-09B4F31614AD}"/>
    <cellStyle name="40% - Accent6 3 2 4 4" xfId="10947" xr:uid="{98302A45-9088-45FE-A160-5403EAB988F2}"/>
    <cellStyle name="40% - Accent6 3 2 5" xfId="1945" xr:uid="{00000000-0005-0000-0000-000040070000}"/>
    <cellStyle name="40% - Accent6 3 2 5 2" xfId="4174" xr:uid="{00000000-0005-0000-0000-000041070000}"/>
    <cellStyle name="40% - Accent6 3 2 5 2 2" xfId="8396" xr:uid="{00000000-0005-0000-0000-000042070000}"/>
    <cellStyle name="40% - Accent6 3 2 5 2 2 2" xfId="17722" xr:uid="{5CD03279-90F6-4CD4-AD6E-171665EB8333}"/>
    <cellStyle name="40% - Accent6 3 2 5 2 3" xfId="13505" xr:uid="{D46FDA43-B0B8-433E-A8E3-3ED715A1A025}"/>
    <cellStyle name="40% - Accent6 3 2 5 3" xfId="6251" xr:uid="{00000000-0005-0000-0000-000043070000}"/>
    <cellStyle name="40% - Accent6 3 2 5 3 2" xfId="15577" xr:uid="{4AC6EAA6-D3FB-4157-9A21-7E8908F44FE6}"/>
    <cellStyle name="40% - Accent6 3 2 5 4" xfId="11360" xr:uid="{CDBA4EBD-7337-4D53-A047-E5B71C734F4A}"/>
    <cellStyle name="40% - Accent6 3 2 6" xfId="2358" xr:uid="{00000000-0005-0000-0000-000044070000}"/>
    <cellStyle name="40% - Accent6 3 2 6 2" xfId="6664" xr:uid="{00000000-0005-0000-0000-000045070000}"/>
    <cellStyle name="40% - Accent6 3 2 6 2 2" xfId="15990" xr:uid="{26378C70-284E-4F2B-89E3-12B9FD0BF05F}"/>
    <cellStyle name="40% - Accent6 3 2 6 3" xfId="11773" xr:uid="{16511496-72D5-4D17-8078-CA1BACA28451}"/>
    <cellStyle name="40% - Accent6 3 2 7" xfId="4598" xr:uid="{00000000-0005-0000-0000-000046070000}"/>
    <cellStyle name="40% - Accent6 3 2 7 2" xfId="13924" xr:uid="{31491D6E-EE6A-489B-8357-96D213D732E9}"/>
    <cellStyle name="40% - Accent6 3 2 8" xfId="9079" xr:uid="{7FA93E2E-699F-4676-8533-A3CC5F80D807}"/>
    <cellStyle name="40% - Accent6 3 2 8 2" xfId="18403" xr:uid="{1AB151D6-40BF-4631-885C-4A78CC365122}"/>
    <cellStyle name="40% - Accent6 3 2 9" xfId="9707" xr:uid="{DEDB38AD-5F62-4D5D-840A-D1DCCD3AC973}"/>
    <cellStyle name="40% - Accent6 3 3" xfId="663" xr:uid="{00000000-0005-0000-0000-000047070000}"/>
    <cellStyle name="40% - Accent6 3 3 2" xfId="2934" xr:uid="{00000000-0005-0000-0000-000048070000}"/>
    <cellStyle name="40% - Accent6 3 3 2 2" xfId="7156" xr:uid="{00000000-0005-0000-0000-000049070000}"/>
    <cellStyle name="40% - Accent6 3 3 2 2 2" xfId="16482" xr:uid="{E6B44BF3-3107-4293-8FE2-A7DC1311E820}"/>
    <cellStyle name="40% - Accent6 3 3 2 3" xfId="12265" xr:uid="{D30A81E4-78B4-45D6-9046-83D7A4CF383A}"/>
    <cellStyle name="40% - Accent6 3 3 3" xfId="5011" xr:uid="{00000000-0005-0000-0000-00004A070000}"/>
    <cellStyle name="40% - Accent6 3 3 3 2" xfId="14337" xr:uid="{4026DBFC-DE5D-4534-8F0F-63FF8CC2AF1D}"/>
    <cellStyle name="40% - Accent6 3 3 4" xfId="9297" xr:uid="{1226E28F-09E7-4580-8D19-7F14AC1CB4B3}"/>
    <cellStyle name="40% - Accent6 3 3 4 2" xfId="18612" xr:uid="{E0A8B96B-1793-4CD5-A317-ADA330CE0868}"/>
    <cellStyle name="40% - Accent6 3 3 5" xfId="10120" xr:uid="{E9720C91-F525-4787-847D-28466D1B90F8}"/>
    <cellStyle name="40% - Accent6 3 4" xfId="1116" xr:uid="{00000000-0005-0000-0000-00004B070000}"/>
    <cellStyle name="40% - Accent6 3 4 2" xfId="3347" xr:uid="{00000000-0005-0000-0000-00004C070000}"/>
    <cellStyle name="40% - Accent6 3 4 2 2" xfId="7569" xr:uid="{00000000-0005-0000-0000-00004D070000}"/>
    <cellStyle name="40% - Accent6 3 4 2 2 2" xfId="16895" xr:uid="{B397970B-D189-4A28-9567-FAA24363514A}"/>
    <cellStyle name="40% - Accent6 3 4 2 3" xfId="12678" xr:uid="{A995A630-04B1-4E06-9070-FBF1421F99A5}"/>
    <cellStyle name="40% - Accent6 3 4 3" xfId="5424" xr:uid="{00000000-0005-0000-0000-00004E070000}"/>
    <cellStyle name="40% - Accent6 3 4 3 2" xfId="14750" xr:uid="{EF8BA5D8-CD61-4295-A2BA-6891AE117DB1}"/>
    <cellStyle name="40% - Accent6 3 4 4" xfId="10533" xr:uid="{80B1C794-5C3C-42DB-B940-B28C60DD3624}"/>
    <cellStyle name="40% - Accent6 3 5" xfId="1530" xr:uid="{00000000-0005-0000-0000-00004F070000}"/>
    <cellStyle name="40% - Accent6 3 5 2" xfId="3760" xr:uid="{00000000-0005-0000-0000-000050070000}"/>
    <cellStyle name="40% - Accent6 3 5 2 2" xfId="7982" xr:uid="{00000000-0005-0000-0000-000051070000}"/>
    <cellStyle name="40% - Accent6 3 5 2 2 2" xfId="17308" xr:uid="{E7D8A94E-884F-470B-BD95-D3FB1BF1FC5A}"/>
    <cellStyle name="40% - Accent6 3 5 2 3" xfId="13091" xr:uid="{384127BF-2F40-44B4-B08C-3DEB9F4F4A9B}"/>
    <cellStyle name="40% - Accent6 3 5 3" xfId="5837" xr:uid="{00000000-0005-0000-0000-000052070000}"/>
    <cellStyle name="40% - Accent6 3 5 3 2" xfId="15163" xr:uid="{C42DB703-1F0F-40DC-A11E-9306B4730C13}"/>
    <cellStyle name="40% - Accent6 3 5 4" xfId="10946" xr:uid="{587E9E15-55E7-4248-9A26-E7981EF69D9D}"/>
    <cellStyle name="40% - Accent6 3 6" xfId="1944" xr:uid="{00000000-0005-0000-0000-000053070000}"/>
    <cellStyle name="40% - Accent6 3 6 2" xfId="4173" xr:uid="{00000000-0005-0000-0000-000054070000}"/>
    <cellStyle name="40% - Accent6 3 6 2 2" xfId="8395" xr:uid="{00000000-0005-0000-0000-000055070000}"/>
    <cellStyle name="40% - Accent6 3 6 2 2 2" xfId="17721" xr:uid="{1FB9A34D-AF93-4BCF-83AE-D0C5818BA9C1}"/>
    <cellStyle name="40% - Accent6 3 6 2 3" xfId="13504" xr:uid="{DC7A64AC-9173-4AB0-B2A7-5CC65A1F0D09}"/>
    <cellStyle name="40% - Accent6 3 6 3" xfId="6250" xr:uid="{00000000-0005-0000-0000-000056070000}"/>
    <cellStyle name="40% - Accent6 3 6 3 2" xfId="15576" xr:uid="{6BC9DB3C-E6E7-4A2E-B379-448F520A66A4}"/>
    <cellStyle name="40% - Accent6 3 6 4" xfId="11359" xr:uid="{2DDA3C43-2A2F-43FC-8629-E533AE79BBD6}"/>
    <cellStyle name="40% - Accent6 3 7" xfId="2357" xr:uid="{00000000-0005-0000-0000-000057070000}"/>
    <cellStyle name="40% - Accent6 3 7 2" xfId="6663" xr:uid="{00000000-0005-0000-0000-000058070000}"/>
    <cellStyle name="40% - Accent6 3 7 2 2" xfId="15989" xr:uid="{419A91E2-5BB9-41EA-95E8-EAD838511940}"/>
    <cellStyle name="40% - Accent6 3 7 3" xfId="11772" xr:uid="{E5754D3A-3924-4899-A213-9BA0D9F727DB}"/>
    <cellStyle name="40% - Accent6 3 8" xfId="4597" xr:uid="{00000000-0005-0000-0000-000059070000}"/>
    <cellStyle name="40% - Accent6 3 8 2" xfId="13923" xr:uid="{FE20C754-3502-4D20-A153-8C78EE64E85A}"/>
    <cellStyle name="40% - Accent6 3 9" xfId="8872" xr:uid="{E018AF0F-504E-4DED-BF70-CC97997D74E9}"/>
    <cellStyle name="40% - Accent6 3 9 2" xfId="18196" xr:uid="{5309F7E5-5404-4FD6-AA51-1CF1C8B73168}"/>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2 2 2" xfId="16484" xr:uid="{53965F1F-388A-4921-B4E8-A59E42285F37}"/>
    <cellStyle name="40% - Accent6 4 2 2 3" xfId="12267" xr:uid="{DF9F552D-706F-4513-8675-B5A4C0484B99}"/>
    <cellStyle name="40% - Accent6 4 2 3" xfId="5013" xr:uid="{00000000-0005-0000-0000-00005E070000}"/>
    <cellStyle name="40% - Accent6 4 2 3 2" xfId="14339" xr:uid="{A287CE8E-EF2D-48BC-89CE-51A0027B66B9}"/>
    <cellStyle name="40% - Accent6 4 2 4" xfId="9383" xr:uid="{07C7426F-B517-4815-A0BF-2BAE02B26B53}"/>
    <cellStyle name="40% - Accent6 4 2 4 2" xfId="18698" xr:uid="{DDB2FCC9-AFF5-4073-A725-815085F41C22}"/>
    <cellStyle name="40% - Accent6 4 2 5" xfId="10122" xr:uid="{EC94AFA2-4D99-4F18-9902-80C2E04D3027}"/>
    <cellStyle name="40% - Accent6 4 3" xfId="1118" xr:uid="{00000000-0005-0000-0000-00005F070000}"/>
    <cellStyle name="40% - Accent6 4 3 2" xfId="3349" xr:uid="{00000000-0005-0000-0000-000060070000}"/>
    <cellStyle name="40% - Accent6 4 3 2 2" xfId="7571" xr:uid="{00000000-0005-0000-0000-000061070000}"/>
    <cellStyle name="40% - Accent6 4 3 2 2 2" xfId="16897" xr:uid="{1CA235D1-CCBD-4574-8D3D-4F248C224033}"/>
    <cellStyle name="40% - Accent6 4 3 2 3" xfId="12680" xr:uid="{6016A115-C1A0-4F17-838F-74F72E40BE16}"/>
    <cellStyle name="40% - Accent6 4 3 3" xfId="5426" xr:uid="{00000000-0005-0000-0000-000062070000}"/>
    <cellStyle name="40% - Accent6 4 3 3 2" xfId="14752" xr:uid="{829A4BBB-6CCF-40CE-A4BF-626EAD4C306A}"/>
    <cellStyle name="40% - Accent6 4 3 4" xfId="10535" xr:uid="{34D26AA2-8CA5-40D0-96C4-92E49862F7E4}"/>
    <cellStyle name="40% - Accent6 4 4" xfId="1532" xr:uid="{00000000-0005-0000-0000-000063070000}"/>
    <cellStyle name="40% - Accent6 4 4 2" xfId="3762" xr:uid="{00000000-0005-0000-0000-000064070000}"/>
    <cellStyle name="40% - Accent6 4 4 2 2" xfId="7984" xr:uid="{00000000-0005-0000-0000-000065070000}"/>
    <cellStyle name="40% - Accent6 4 4 2 2 2" xfId="17310" xr:uid="{FF4FD146-B989-4243-BE0E-3BFF1FC40A09}"/>
    <cellStyle name="40% - Accent6 4 4 2 3" xfId="13093" xr:uid="{5BBBD366-D67B-44BB-916E-CB2DED0AA9F9}"/>
    <cellStyle name="40% - Accent6 4 4 3" xfId="5839" xr:uid="{00000000-0005-0000-0000-000066070000}"/>
    <cellStyle name="40% - Accent6 4 4 3 2" xfId="15165" xr:uid="{84B20C9C-5F86-4497-B161-2D10D0E21CA3}"/>
    <cellStyle name="40% - Accent6 4 4 4" xfId="10948" xr:uid="{D8A4520A-107F-49A7-BDE0-FE0B48E0B0BD}"/>
    <cellStyle name="40% - Accent6 4 5" xfId="1946" xr:uid="{00000000-0005-0000-0000-000067070000}"/>
    <cellStyle name="40% - Accent6 4 5 2" xfId="4175" xr:uid="{00000000-0005-0000-0000-000068070000}"/>
    <cellStyle name="40% - Accent6 4 5 2 2" xfId="8397" xr:uid="{00000000-0005-0000-0000-000069070000}"/>
    <cellStyle name="40% - Accent6 4 5 2 2 2" xfId="17723" xr:uid="{6391B9E9-44F4-4A07-82B3-C769ACAD4569}"/>
    <cellStyle name="40% - Accent6 4 5 2 3" xfId="13506" xr:uid="{9C7978FD-17E3-43D2-97D8-946DB4FA0003}"/>
    <cellStyle name="40% - Accent6 4 5 3" xfId="6252" xr:uid="{00000000-0005-0000-0000-00006A070000}"/>
    <cellStyle name="40% - Accent6 4 5 3 2" xfId="15578" xr:uid="{F5AAC544-9860-465D-A85C-0AD8680E4B43}"/>
    <cellStyle name="40% - Accent6 4 5 4" xfId="11361" xr:uid="{103FD9DC-A123-49E3-ABB1-E9C9D68253C0}"/>
    <cellStyle name="40% - Accent6 4 6" xfId="2359" xr:uid="{00000000-0005-0000-0000-00006B070000}"/>
    <cellStyle name="40% - Accent6 4 6 2" xfId="6665" xr:uid="{00000000-0005-0000-0000-00006C070000}"/>
    <cellStyle name="40% - Accent6 4 6 2 2" xfId="15991" xr:uid="{ACDB51A7-CB39-4205-84E2-BB01BFBA5A9B}"/>
    <cellStyle name="40% - Accent6 4 6 3" xfId="11774" xr:uid="{23E4B9A4-697B-4BB8-82B4-94BBF76F5CBE}"/>
    <cellStyle name="40% - Accent6 4 7" xfId="4599" xr:uid="{00000000-0005-0000-0000-00006D070000}"/>
    <cellStyle name="40% - Accent6 4 7 2" xfId="13925" xr:uid="{3F70846E-9EEE-49D6-A208-137B4B829F58}"/>
    <cellStyle name="40% - Accent6 4 8" xfId="8958" xr:uid="{058203D5-6D6D-4106-8D68-93F66B236239}"/>
    <cellStyle name="40% - Accent6 4 8 2" xfId="18282" xr:uid="{2C9DC86F-BD7B-4DE6-B1E4-5B617314B94E}"/>
    <cellStyle name="40% - Accent6 4 9" xfId="9708" xr:uid="{ACDFDA99-85F0-4C5D-B5C5-AEC81C7540A2}"/>
    <cellStyle name="40% - Accent6 5" xfId="658" xr:uid="{00000000-0005-0000-0000-00006E070000}"/>
    <cellStyle name="40% - Accent6 5 2" xfId="2929" xr:uid="{00000000-0005-0000-0000-00006F070000}"/>
    <cellStyle name="40% - Accent6 5 2 2" xfId="7151" xr:uid="{00000000-0005-0000-0000-000070070000}"/>
    <cellStyle name="40% - Accent6 5 2 2 2" xfId="16477" xr:uid="{E77F9D4B-E140-4A5A-8FAF-79F02A3ADE48}"/>
    <cellStyle name="40% - Accent6 5 2 3" xfId="12260" xr:uid="{B2188D90-F0A6-4741-9119-F8C94367B282}"/>
    <cellStyle name="40% - Accent6 5 3" xfId="5006" xr:uid="{00000000-0005-0000-0000-000071070000}"/>
    <cellStyle name="40% - Accent6 5 3 2" xfId="14332" xr:uid="{8DC46285-3337-4D3C-A32A-1240ADF2C67F}"/>
    <cellStyle name="40% - Accent6 5 4" xfId="9192" xr:uid="{19661A88-B46A-4EF9-A9F3-4BCF8E242108}"/>
    <cellStyle name="40% - Accent6 5 4 2" xfId="18509" xr:uid="{B9A23D6A-C7E1-4AA7-A947-ED9586494E9E}"/>
    <cellStyle name="40% - Accent6 5 5" xfId="10115" xr:uid="{129396D4-4A3D-4AE6-A86E-3AF9A82C8D0B}"/>
    <cellStyle name="40% - Accent6 6" xfId="1111" xr:uid="{00000000-0005-0000-0000-000072070000}"/>
    <cellStyle name="40% - Accent6 6 2" xfId="3342" xr:uid="{00000000-0005-0000-0000-000073070000}"/>
    <cellStyle name="40% - Accent6 6 2 2" xfId="7564" xr:uid="{00000000-0005-0000-0000-000074070000}"/>
    <cellStyle name="40% - Accent6 6 2 2 2" xfId="16890" xr:uid="{4B001740-240A-4D7D-9292-CEEA95178819}"/>
    <cellStyle name="40% - Accent6 6 2 3" xfId="12673" xr:uid="{E63D7FCA-6839-4AC0-8CA1-005EDE3DD56A}"/>
    <cellStyle name="40% - Accent6 6 3" xfId="5419" xr:uid="{00000000-0005-0000-0000-000075070000}"/>
    <cellStyle name="40% - Accent6 6 3 2" xfId="14745" xr:uid="{E88215C0-DAA9-4D54-AA2C-DA95C1206C0B}"/>
    <cellStyle name="40% - Accent6 6 4" xfId="10528" xr:uid="{9F466E49-155A-4477-B4CF-1A47E46EBC56}"/>
    <cellStyle name="40% - Accent6 7" xfId="1525" xr:uid="{00000000-0005-0000-0000-000076070000}"/>
    <cellStyle name="40% - Accent6 7 2" xfId="3755" xr:uid="{00000000-0005-0000-0000-000077070000}"/>
    <cellStyle name="40% - Accent6 7 2 2" xfId="7977" xr:uid="{00000000-0005-0000-0000-000078070000}"/>
    <cellStyle name="40% - Accent6 7 2 2 2" xfId="17303" xr:uid="{DBCFA67A-C499-4EC5-831A-2C42D99D092B}"/>
    <cellStyle name="40% - Accent6 7 2 3" xfId="13086" xr:uid="{1CB806BF-4C68-4769-8E52-35658DC728DA}"/>
    <cellStyle name="40% - Accent6 7 3" xfId="5832" xr:uid="{00000000-0005-0000-0000-000079070000}"/>
    <cellStyle name="40% - Accent6 7 3 2" xfId="15158" xr:uid="{BF902AE6-8595-4C23-B812-7A942F687CB4}"/>
    <cellStyle name="40% - Accent6 7 4" xfId="10941" xr:uid="{FDD58838-B632-4C14-94CC-0E0A73085335}"/>
    <cellStyle name="40% - Accent6 8" xfId="1939" xr:uid="{00000000-0005-0000-0000-00007A070000}"/>
    <cellStyle name="40% - Accent6 8 2" xfId="4168" xr:uid="{00000000-0005-0000-0000-00007B070000}"/>
    <cellStyle name="40% - Accent6 8 2 2" xfId="8390" xr:uid="{00000000-0005-0000-0000-00007C070000}"/>
    <cellStyle name="40% - Accent6 8 2 2 2" xfId="17716" xr:uid="{C0E1E619-4680-4FED-9384-874474EA3834}"/>
    <cellStyle name="40% - Accent6 8 2 3" xfId="13499" xr:uid="{EAAFE769-DF6B-4BAE-B959-A5D14C44E6F9}"/>
    <cellStyle name="40% - Accent6 8 3" xfId="6245" xr:uid="{00000000-0005-0000-0000-00007D070000}"/>
    <cellStyle name="40% - Accent6 8 3 2" xfId="15571" xr:uid="{3C2288F2-EF68-467D-B42F-298A15B3AFC2}"/>
    <cellStyle name="40% - Accent6 8 4" xfId="11354" xr:uid="{E1A2007E-7B52-4F87-954E-639FE98A9CC8}"/>
    <cellStyle name="40% - Accent6 9" xfId="2352" xr:uid="{00000000-0005-0000-0000-00007E070000}"/>
    <cellStyle name="40% - Accent6 9 2" xfId="6658" xr:uid="{00000000-0005-0000-0000-00007F070000}"/>
    <cellStyle name="40% - Accent6 9 2 2" xfId="15984" xr:uid="{73A22B0A-E4FC-4358-AE44-EE6F9DDF6AA3}"/>
    <cellStyle name="40% - Accent6 9 3" xfId="11767" xr:uid="{8F70699B-F78F-4157-B160-D0A1A4670D09}"/>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0 2 2" xfId="16309" xr:uid="{41B86689-1E55-466E-9454-65BE1F74025C}"/>
    <cellStyle name="Comma 4 2 2 2 10 3" xfId="12092" xr:uid="{33666EA6-C8E6-4BF2-9BE2-871BFF0B652C}"/>
    <cellStyle name="Comma 4 2 2 2 11" xfId="4600" xr:uid="{00000000-0005-0000-0000-0000A3070000}"/>
    <cellStyle name="Comma 4 2 2 2 11 2" xfId="13926" xr:uid="{C85174F8-13D3-48B0-A3E2-57949912D934}"/>
    <cellStyle name="Comma 4 2 2 2 12" xfId="8806" xr:uid="{6C773D0B-D2E3-4A8C-B041-8DA2843B9E25}"/>
    <cellStyle name="Comma 4 2 2 2 12 2" xfId="18130" xr:uid="{EB18DF41-6B05-4996-BD7F-4323EB13017D}"/>
    <cellStyle name="Comma 4 2 2 2 13" xfId="9709" xr:uid="{5E0D462D-367C-4692-99FD-53FA8B751CC7}"/>
    <cellStyle name="Comma 4 2 2 2 2" xfId="129" xr:uid="{00000000-0005-0000-0000-0000A4070000}"/>
    <cellStyle name="Comma 4 2 2 2 2 10" xfId="4601" xr:uid="{00000000-0005-0000-0000-0000A5070000}"/>
    <cellStyle name="Comma 4 2 2 2 2 10 2" xfId="13927" xr:uid="{58463915-3FA3-4DC8-A7E0-96EF48D772E1}"/>
    <cellStyle name="Comma 4 2 2 2 2 11" xfId="8909" xr:uid="{477FCE05-1F49-4658-A03C-A8A5E7983C47}"/>
    <cellStyle name="Comma 4 2 2 2 2 11 2" xfId="18233" xr:uid="{DBEEEDAB-9EB7-44C7-8409-E0C41D9AF02B}"/>
    <cellStyle name="Comma 4 2 2 2 2 12" xfId="9710" xr:uid="{F31AF3B6-8D23-4B09-B400-A4890EA9D969}"/>
    <cellStyle name="Comma 4 2 2 2 2 2" xfId="130" xr:uid="{00000000-0005-0000-0000-0000A6070000}"/>
    <cellStyle name="Comma 4 2 2 2 2 2 10" xfId="9116" xr:uid="{7A07505D-6B4C-4086-90B5-B5D345FB7611}"/>
    <cellStyle name="Comma 4 2 2 2 2 2 10 2" xfId="18440" xr:uid="{FDBE5C03-BDCC-4718-AE72-83F6109D1655}"/>
    <cellStyle name="Comma 4 2 2 2 2 2 11" xfId="9711" xr:uid="{34A2B88A-8AC6-4C39-ACFC-9EF541988A7C}"/>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2 2 2" xfId="16487" xr:uid="{A084A0A5-C83E-4B56-A9A0-906C02973F29}"/>
    <cellStyle name="Comma 4 2 2 2 2 2 2 2 3" xfId="12270" xr:uid="{6F44DA90-5854-4A68-8BF3-32E539B1C003}"/>
    <cellStyle name="Comma 4 2 2 2 2 2 2 3" xfId="5016" xr:uid="{00000000-0005-0000-0000-0000AA070000}"/>
    <cellStyle name="Comma 4 2 2 2 2 2 2 3 2" xfId="14342" xr:uid="{E7350421-F5AF-4AB3-B111-998A7E90889D}"/>
    <cellStyle name="Comma 4 2 2 2 2 2 2 4" xfId="9541" xr:uid="{21DC771E-83A2-48BA-BE40-3E9E8454DE28}"/>
    <cellStyle name="Comma 4 2 2 2 2 2 2 4 2" xfId="18856" xr:uid="{421AD0B6-F8FC-4877-9424-4939AFEF14DB}"/>
    <cellStyle name="Comma 4 2 2 2 2 2 2 5" xfId="10125" xr:uid="{EACE0DCD-C1A7-47FA-ABFD-EAF2870014EB}"/>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2 2 2" xfId="16900" xr:uid="{BDA197AC-69BB-47DC-80FA-111695F3FD37}"/>
    <cellStyle name="Comma 4 2 2 2 2 2 3 2 3" xfId="12683" xr:uid="{4716FA83-46FD-436E-8DBB-E90FC0C1A368}"/>
    <cellStyle name="Comma 4 2 2 2 2 2 3 3" xfId="5429" xr:uid="{00000000-0005-0000-0000-0000AE070000}"/>
    <cellStyle name="Comma 4 2 2 2 2 2 3 3 2" xfId="14755" xr:uid="{0138070D-92D7-4996-9ECC-0112BD8E22FF}"/>
    <cellStyle name="Comma 4 2 2 2 2 2 3 4" xfId="10538" xr:uid="{03024F21-272E-435F-BA51-5232D418D5E6}"/>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2 2 2" xfId="17313" xr:uid="{D101B3E4-43A0-4D7A-8FC3-4F0E8A7B5E3F}"/>
    <cellStyle name="Comma 4 2 2 2 2 2 4 2 3" xfId="13096" xr:uid="{FB3A776D-52C4-4569-8554-F8298A6C8249}"/>
    <cellStyle name="Comma 4 2 2 2 2 2 4 3" xfId="5842" xr:uid="{00000000-0005-0000-0000-0000B2070000}"/>
    <cellStyle name="Comma 4 2 2 2 2 2 4 3 2" xfId="15168" xr:uid="{66734366-5F5E-4264-9C62-6D6A90B1EF88}"/>
    <cellStyle name="Comma 4 2 2 2 2 2 4 4" xfId="10951" xr:uid="{8F1209ED-3F52-4F89-A498-9BD2C57228FD}"/>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2 2 2" xfId="17726" xr:uid="{685B6FB8-9B11-4AB1-A779-EAF842D9134A}"/>
    <cellStyle name="Comma 4 2 2 2 2 2 5 2 3" xfId="13509" xr:uid="{EC61B67D-7FF8-453F-A88D-8D0FD97B935A}"/>
    <cellStyle name="Comma 4 2 2 2 2 2 5 3" xfId="6255" xr:uid="{00000000-0005-0000-0000-0000B6070000}"/>
    <cellStyle name="Comma 4 2 2 2 2 2 5 3 2" xfId="15581" xr:uid="{0642CFAC-A529-4373-871B-83D0D3AE8529}"/>
    <cellStyle name="Comma 4 2 2 2 2 2 5 4" xfId="11364" xr:uid="{D2100D19-8139-4522-8A14-2EF857AA0D22}"/>
    <cellStyle name="Comma 4 2 2 2 2 2 6" xfId="2384" xr:uid="{00000000-0005-0000-0000-0000B7070000}"/>
    <cellStyle name="Comma 4 2 2 2 2 2 6 2" xfId="6668" xr:uid="{00000000-0005-0000-0000-0000B8070000}"/>
    <cellStyle name="Comma 4 2 2 2 2 2 6 2 2" xfId="15994" xr:uid="{AA58A089-C96B-4011-B3C4-879FB28B7EB8}"/>
    <cellStyle name="Comma 4 2 2 2 2 2 6 3" xfId="11777" xr:uid="{17D30BB1-F22E-4718-A796-279BDF94CF8C}"/>
    <cellStyle name="Comma 4 2 2 2 2 2 7" xfId="2379" xr:uid="{00000000-0005-0000-0000-0000B9070000}"/>
    <cellStyle name="Comma 4 2 2 2 2 2 8" xfId="2762" xr:uid="{00000000-0005-0000-0000-0000BA070000}"/>
    <cellStyle name="Comma 4 2 2 2 2 2 8 2" xfId="6985" xr:uid="{00000000-0005-0000-0000-0000BB070000}"/>
    <cellStyle name="Comma 4 2 2 2 2 2 8 2 2" xfId="16311" xr:uid="{56CAF0C9-AF2C-416D-92F4-A4C17EB87B87}"/>
    <cellStyle name="Comma 4 2 2 2 2 2 8 3" xfId="12094" xr:uid="{8F81F9F2-1B40-40CA-B1D2-DBB72B34856A}"/>
    <cellStyle name="Comma 4 2 2 2 2 2 9" xfId="4602" xr:uid="{00000000-0005-0000-0000-0000BC070000}"/>
    <cellStyle name="Comma 4 2 2 2 2 2 9 2" xfId="13928" xr:uid="{D3052A11-9C1E-4861-AA19-E2AB7D069754}"/>
    <cellStyle name="Comma 4 2 2 2 2 3" xfId="667" xr:uid="{00000000-0005-0000-0000-0000BD070000}"/>
    <cellStyle name="Comma 4 2 2 2 2 3 2" xfId="2938" xr:uid="{00000000-0005-0000-0000-0000BE070000}"/>
    <cellStyle name="Comma 4 2 2 2 2 3 2 2" xfId="7160" xr:uid="{00000000-0005-0000-0000-0000BF070000}"/>
    <cellStyle name="Comma 4 2 2 2 2 3 2 2 2" xfId="16486" xr:uid="{912E5C5A-F9EC-430C-81C6-21D9A9C4094B}"/>
    <cellStyle name="Comma 4 2 2 2 2 3 2 3" xfId="12269" xr:uid="{16145324-B789-4C7B-8648-746CE5A9ABE6}"/>
    <cellStyle name="Comma 4 2 2 2 2 3 3" xfId="5015" xr:uid="{00000000-0005-0000-0000-0000C0070000}"/>
    <cellStyle name="Comma 4 2 2 2 2 3 3 2" xfId="14341" xr:uid="{605F1B00-96BC-4A93-87DC-4B46106DA92C}"/>
    <cellStyle name="Comma 4 2 2 2 2 3 4" xfId="9334" xr:uid="{50E8807F-6450-4082-BD30-0A86C2E78D0E}"/>
    <cellStyle name="Comma 4 2 2 2 2 3 4 2" xfId="18649" xr:uid="{9BE9A01F-AD15-42BC-A7EB-FC15198E1725}"/>
    <cellStyle name="Comma 4 2 2 2 2 3 5" xfId="10124" xr:uid="{F212B251-BBFB-4ECE-8C6B-5A38C9BB25F3}"/>
    <cellStyle name="Comma 4 2 2 2 2 4" xfId="1120" xr:uid="{00000000-0005-0000-0000-0000C1070000}"/>
    <cellStyle name="Comma 4 2 2 2 2 4 2" xfId="3351" xr:uid="{00000000-0005-0000-0000-0000C2070000}"/>
    <cellStyle name="Comma 4 2 2 2 2 4 2 2" xfId="7573" xr:uid="{00000000-0005-0000-0000-0000C3070000}"/>
    <cellStyle name="Comma 4 2 2 2 2 4 2 2 2" xfId="16899" xr:uid="{D5B97BFE-F184-4548-86BC-EBF03B6DB317}"/>
    <cellStyle name="Comma 4 2 2 2 2 4 2 3" xfId="12682" xr:uid="{461280DF-FD9D-4F62-A89B-63BFF954FDB9}"/>
    <cellStyle name="Comma 4 2 2 2 2 4 3" xfId="5428" xr:uid="{00000000-0005-0000-0000-0000C4070000}"/>
    <cellStyle name="Comma 4 2 2 2 2 4 3 2" xfId="14754" xr:uid="{E7A525AD-0093-463B-9059-988E3E0F5F36}"/>
    <cellStyle name="Comma 4 2 2 2 2 4 4" xfId="10537" xr:uid="{F396EBED-40CE-43CF-A56D-B022EA1B82FE}"/>
    <cellStyle name="Comma 4 2 2 2 2 5" xfId="1534" xr:uid="{00000000-0005-0000-0000-0000C5070000}"/>
    <cellStyle name="Comma 4 2 2 2 2 5 2" xfId="3764" xr:uid="{00000000-0005-0000-0000-0000C6070000}"/>
    <cellStyle name="Comma 4 2 2 2 2 5 2 2" xfId="7986" xr:uid="{00000000-0005-0000-0000-0000C7070000}"/>
    <cellStyle name="Comma 4 2 2 2 2 5 2 2 2" xfId="17312" xr:uid="{4F168677-A23A-48DF-A170-5BF9C31B55B7}"/>
    <cellStyle name="Comma 4 2 2 2 2 5 2 3" xfId="13095" xr:uid="{04E0B343-DB4E-4AA5-AB50-B89DED47487A}"/>
    <cellStyle name="Comma 4 2 2 2 2 5 3" xfId="5841" xr:uid="{00000000-0005-0000-0000-0000C8070000}"/>
    <cellStyle name="Comma 4 2 2 2 2 5 3 2" xfId="15167" xr:uid="{E79435D0-98D1-4477-A657-4A12ABAC7D32}"/>
    <cellStyle name="Comma 4 2 2 2 2 5 4" xfId="10950" xr:uid="{48CAC5B7-CD22-4EEB-9A84-209DA65A37E2}"/>
    <cellStyle name="Comma 4 2 2 2 2 6" xfId="1948" xr:uid="{00000000-0005-0000-0000-0000C9070000}"/>
    <cellStyle name="Comma 4 2 2 2 2 6 2" xfId="4177" xr:uid="{00000000-0005-0000-0000-0000CA070000}"/>
    <cellStyle name="Comma 4 2 2 2 2 6 2 2" xfId="8399" xr:uid="{00000000-0005-0000-0000-0000CB070000}"/>
    <cellStyle name="Comma 4 2 2 2 2 6 2 2 2" xfId="17725" xr:uid="{0CBE54A9-7271-4D32-AFCC-31EE58BC68E9}"/>
    <cellStyle name="Comma 4 2 2 2 2 6 2 3" xfId="13508" xr:uid="{C379383B-58D4-4D35-9362-50D3A883BB15}"/>
    <cellStyle name="Comma 4 2 2 2 2 6 3" xfId="6254" xr:uid="{00000000-0005-0000-0000-0000CC070000}"/>
    <cellStyle name="Comma 4 2 2 2 2 6 3 2" xfId="15580" xr:uid="{8EB196B9-5C55-44F3-802F-7D15D1949958}"/>
    <cellStyle name="Comma 4 2 2 2 2 6 4" xfId="11363" xr:uid="{BE384BBD-80AF-4729-B687-9E6CEE9168A3}"/>
    <cellStyle name="Comma 4 2 2 2 2 7" xfId="2383" xr:uid="{00000000-0005-0000-0000-0000CD070000}"/>
    <cellStyle name="Comma 4 2 2 2 2 7 2" xfId="6667" xr:uid="{00000000-0005-0000-0000-0000CE070000}"/>
    <cellStyle name="Comma 4 2 2 2 2 7 2 2" xfId="15993" xr:uid="{76134882-4742-488A-8B8E-CC852CE7BA5A}"/>
    <cellStyle name="Comma 4 2 2 2 2 7 3" xfId="11776" xr:uid="{4465DD98-0382-418A-986A-C56D417DB2E7}"/>
    <cellStyle name="Comma 4 2 2 2 2 8" xfId="2380" xr:uid="{00000000-0005-0000-0000-0000CF070000}"/>
    <cellStyle name="Comma 4 2 2 2 2 9" xfId="2761" xr:uid="{00000000-0005-0000-0000-0000D0070000}"/>
    <cellStyle name="Comma 4 2 2 2 2 9 2" xfId="6984" xr:uid="{00000000-0005-0000-0000-0000D1070000}"/>
    <cellStyle name="Comma 4 2 2 2 2 9 2 2" xfId="16310" xr:uid="{D4CD8141-FD69-49CE-B454-84D9E5C6F496}"/>
    <cellStyle name="Comma 4 2 2 2 2 9 3" xfId="12093" xr:uid="{12E2DACB-868B-47E5-A346-E5D2AEB37BF3}"/>
    <cellStyle name="Comma 4 2 2 2 3" xfId="131" xr:uid="{00000000-0005-0000-0000-0000D2070000}"/>
    <cellStyle name="Comma 4 2 2 2 3 10" xfId="9013" xr:uid="{D7491CA1-A7A0-4099-A659-9FB418CDDACA}"/>
    <cellStyle name="Comma 4 2 2 2 3 10 2" xfId="18337" xr:uid="{CC76093B-7237-43A8-91C3-A93A88B4E3E1}"/>
    <cellStyle name="Comma 4 2 2 2 3 11" xfId="9712" xr:uid="{78858270-73C5-406A-AA4B-FAAC65105CD8}"/>
    <cellStyle name="Comma 4 2 2 2 3 2" xfId="669" xr:uid="{00000000-0005-0000-0000-0000D3070000}"/>
    <cellStyle name="Comma 4 2 2 2 3 2 2" xfId="2940" xr:uid="{00000000-0005-0000-0000-0000D4070000}"/>
    <cellStyle name="Comma 4 2 2 2 3 2 2 2" xfId="7162" xr:uid="{00000000-0005-0000-0000-0000D5070000}"/>
    <cellStyle name="Comma 4 2 2 2 3 2 2 2 2" xfId="16488" xr:uid="{B8211451-263F-4C3B-A513-12C0AC94915A}"/>
    <cellStyle name="Comma 4 2 2 2 3 2 2 3" xfId="12271" xr:uid="{359D1A68-22D8-47DC-8F7D-D9049415CCF3}"/>
    <cellStyle name="Comma 4 2 2 2 3 2 3" xfId="5017" xr:uid="{00000000-0005-0000-0000-0000D6070000}"/>
    <cellStyle name="Comma 4 2 2 2 3 2 3 2" xfId="14343" xr:uid="{E4833071-1139-491B-83F0-1967241D80A3}"/>
    <cellStyle name="Comma 4 2 2 2 3 2 4" xfId="9438" xr:uid="{8E9C4341-814A-43D1-8D35-8CCC512A2E32}"/>
    <cellStyle name="Comma 4 2 2 2 3 2 4 2" xfId="18753" xr:uid="{D12713AC-AE85-43E5-A79B-A8EE4F29AC63}"/>
    <cellStyle name="Comma 4 2 2 2 3 2 5" xfId="10126" xr:uid="{A410533D-F3C0-41DA-8DE7-8CBBC9563021}"/>
    <cellStyle name="Comma 4 2 2 2 3 3" xfId="1122" xr:uid="{00000000-0005-0000-0000-0000D7070000}"/>
    <cellStyle name="Comma 4 2 2 2 3 3 2" xfId="3353" xr:uid="{00000000-0005-0000-0000-0000D8070000}"/>
    <cellStyle name="Comma 4 2 2 2 3 3 2 2" xfId="7575" xr:uid="{00000000-0005-0000-0000-0000D9070000}"/>
    <cellStyle name="Comma 4 2 2 2 3 3 2 2 2" xfId="16901" xr:uid="{EB07D60C-18AB-4FB5-8FD6-7046E7B700E6}"/>
    <cellStyle name="Comma 4 2 2 2 3 3 2 3" xfId="12684" xr:uid="{DD80D25E-50D5-4E5E-9295-DB4B059EB932}"/>
    <cellStyle name="Comma 4 2 2 2 3 3 3" xfId="5430" xr:uid="{00000000-0005-0000-0000-0000DA070000}"/>
    <cellStyle name="Comma 4 2 2 2 3 3 3 2" xfId="14756" xr:uid="{DA8267C0-E1DC-45A2-B41B-BDAF026DD89C}"/>
    <cellStyle name="Comma 4 2 2 2 3 3 4" xfId="10539" xr:uid="{A9DBB97C-09E2-42B4-93AD-EFA5589F837B}"/>
    <cellStyle name="Comma 4 2 2 2 3 4" xfId="1536" xr:uid="{00000000-0005-0000-0000-0000DB070000}"/>
    <cellStyle name="Comma 4 2 2 2 3 4 2" xfId="3766" xr:uid="{00000000-0005-0000-0000-0000DC070000}"/>
    <cellStyle name="Comma 4 2 2 2 3 4 2 2" xfId="7988" xr:uid="{00000000-0005-0000-0000-0000DD070000}"/>
    <cellStyle name="Comma 4 2 2 2 3 4 2 2 2" xfId="17314" xr:uid="{F32E32D2-4BC4-43AA-A025-E78F390B0559}"/>
    <cellStyle name="Comma 4 2 2 2 3 4 2 3" xfId="13097" xr:uid="{B0178C53-5E64-4681-ADE9-738EAC9EF805}"/>
    <cellStyle name="Comma 4 2 2 2 3 4 3" xfId="5843" xr:uid="{00000000-0005-0000-0000-0000DE070000}"/>
    <cellStyle name="Comma 4 2 2 2 3 4 3 2" xfId="15169" xr:uid="{957EBE12-58C7-4984-88A7-799A87B3B217}"/>
    <cellStyle name="Comma 4 2 2 2 3 4 4" xfId="10952" xr:uid="{BD6C0BF9-BFE2-4CAF-9507-801A40AE46BB}"/>
    <cellStyle name="Comma 4 2 2 2 3 5" xfId="1950" xr:uid="{00000000-0005-0000-0000-0000DF070000}"/>
    <cellStyle name="Comma 4 2 2 2 3 5 2" xfId="4179" xr:uid="{00000000-0005-0000-0000-0000E0070000}"/>
    <cellStyle name="Comma 4 2 2 2 3 5 2 2" xfId="8401" xr:uid="{00000000-0005-0000-0000-0000E1070000}"/>
    <cellStyle name="Comma 4 2 2 2 3 5 2 2 2" xfId="17727" xr:uid="{C59EAAFE-D098-47C0-B25D-31DEB3A5BF29}"/>
    <cellStyle name="Comma 4 2 2 2 3 5 2 3" xfId="13510" xr:uid="{DAC56326-4823-4A38-8BCE-AA57C5E69E1B}"/>
    <cellStyle name="Comma 4 2 2 2 3 5 3" xfId="6256" xr:uid="{00000000-0005-0000-0000-0000E2070000}"/>
    <cellStyle name="Comma 4 2 2 2 3 5 3 2" xfId="15582" xr:uid="{743CCC59-B996-4786-9323-0DE60FC31D70}"/>
    <cellStyle name="Comma 4 2 2 2 3 5 4" xfId="11365" xr:uid="{6216E827-6682-44FE-A05F-21F036AC0529}"/>
    <cellStyle name="Comma 4 2 2 2 3 6" xfId="2385" xr:uid="{00000000-0005-0000-0000-0000E3070000}"/>
    <cellStyle name="Comma 4 2 2 2 3 6 2" xfId="6669" xr:uid="{00000000-0005-0000-0000-0000E4070000}"/>
    <cellStyle name="Comma 4 2 2 2 3 6 2 2" xfId="15995" xr:uid="{236545A8-638C-4B86-9549-EB1A2037711E}"/>
    <cellStyle name="Comma 4 2 2 2 3 6 3" xfId="11778" xr:uid="{B1E4E2BD-C286-406D-BC00-C43F967E6A1A}"/>
    <cellStyle name="Comma 4 2 2 2 3 7" xfId="2378" xr:uid="{00000000-0005-0000-0000-0000E5070000}"/>
    <cellStyle name="Comma 4 2 2 2 3 8" xfId="2763" xr:uid="{00000000-0005-0000-0000-0000E6070000}"/>
    <cellStyle name="Comma 4 2 2 2 3 8 2" xfId="6986" xr:uid="{00000000-0005-0000-0000-0000E7070000}"/>
    <cellStyle name="Comma 4 2 2 2 3 8 2 2" xfId="16312" xr:uid="{B53D01F8-A76D-421D-8433-86C1D0458C14}"/>
    <cellStyle name="Comma 4 2 2 2 3 8 3" xfId="12095" xr:uid="{3D08FFA5-A1B0-42DB-AB12-B0E543BB6EC8}"/>
    <cellStyle name="Comma 4 2 2 2 3 9" xfId="4603" xr:uid="{00000000-0005-0000-0000-0000E8070000}"/>
    <cellStyle name="Comma 4 2 2 2 3 9 2" xfId="13929" xr:uid="{F82B4E1A-390C-46A2-BBE2-8FC436FEBB35}"/>
    <cellStyle name="Comma 4 2 2 2 4" xfId="666" xr:uid="{00000000-0005-0000-0000-0000E9070000}"/>
    <cellStyle name="Comma 4 2 2 2 4 2" xfId="2937" xr:uid="{00000000-0005-0000-0000-0000EA070000}"/>
    <cellStyle name="Comma 4 2 2 2 4 2 2" xfId="7159" xr:uid="{00000000-0005-0000-0000-0000EB070000}"/>
    <cellStyle name="Comma 4 2 2 2 4 2 2 2" xfId="16485" xr:uid="{EAC99859-9720-4FC6-8F9B-ABC27E446BE9}"/>
    <cellStyle name="Comma 4 2 2 2 4 2 3" xfId="12268" xr:uid="{4DD70DA2-1880-480A-83FD-2731B328B928}"/>
    <cellStyle name="Comma 4 2 2 2 4 3" xfId="5014" xr:uid="{00000000-0005-0000-0000-0000EC070000}"/>
    <cellStyle name="Comma 4 2 2 2 4 3 2" xfId="14340" xr:uid="{F48C0984-F6C4-4F1B-B5EA-BF1DF47F8108}"/>
    <cellStyle name="Comma 4 2 2 2 4 4" xfId="9231" xr:uid="{31DAC97A-9492-467B-9850-183797A56FBE}"/>
    <cellStyle name="Comma 4 2 2 2 4 4 2" xfId="18546" xr:uid="{A646077E-41A6-4E26-B642-1E05DE398974}"/>
    <cellStyle name="Comma 4 2 2 2 4 5" xfId="10123" xr:uid="{18D7798F-FDEC-4F2B-9A73-B0BBA76357CF}"/>
    <cellStyle name="Comma 4 2 2 2 5" xfId="1119" xr:uid="{00000000-0005-0000-0000-0000ED070000}"/>
    <cellStyle name="Comma 4 2 2 2 5 2" xfId="3350" xr:uid="{00000000-0005-0000-0000-0000EE070000}"/>
    <cellStyle name="Comma 4 2 2 2 5 2 2" xfId="7572" xr:uid="{00000000-0005-0000-0000-0000EF070000}"/>
    <cellStyle name="Comma 4 2 2 2 5 2 2 2" xfId="16898" xr:uid="{45872F1E-C59A-4ADE-BCE1-4F552085933B}"/>
    <cellStyle name="Comma 4 2 2 2 5 2 3" xfId="12681" xr:uid="{B2D91B8B-913F-4420-85B6-D6812B87D600}"/>
    <cellStyle name="Comma 4 2 2 2 5 3" xfId="5427" xr:uid="{00000000-0005-0000-0000-0000F0070000}"/>
    <cellStyle name="Comma 4 2 2 2 5 3 2" xfId="14753" xr:uid="{6DEFCF23-8800-4890-ACD9-934C373EBDF7}"/>
    <cellStyle name="Comma 4 2 2 2 5 4" xfId="10536" xr:uid="{5B813C33-FC23-4FA6-B3AE-792696AE8744}"/>
    <cellStyle name="Comma 4 2 2 2 6" xfId="1533" xr:uid="{00000000-0005-0000-0000-0000F1070000}"/>
    <cellStyle name="Comma 4 2 2 2 6 2" xfId="3763" xr:uid="{00000000-0005-0000-0000-0000F2070000}"/>
    <cellStyle name="Comma 4 2 2 2 6 2 2" xfId="7985" xr:uid="{00000000-0005-0000-0000-0000F3070000}"/>
    <cellStyle name="Comma 4 2 2 2 6 2 2 2" xfId="17311" xr:uid="{C0427A3D-B378-4D5C-AC2E-0A57158AB9BD}"/>
    <cellStyle name="Comma 4 2 2 2 6 2 3" xfId="13094" xr:uid="{DEC66F97-F4A3-4F07-BD76-AB5318AEA274}"/>
    <cellStyle name="Comma 4 2 2 2 6 3" xfId="5840" xr:uid="{00000000-0005-0000-0000-0000F4070000}"/>
    <cellStyle name="Comma 4 2 2 2 6 3 2" xfId="15166" xr:uid="{1E1E090A-0448-4EA1-B64C-BDEC06BE6630}"/>
    <cellStyle name="Comma 4 2 2 2 6 4" xfId="10949" xr:uid="{505006BD-3EC0-4086-94A7-F44576E17A47}"/>
    <cellStyle name="Comma 4 2 2 2 7" xfId="1947" xr:uid="{00000000-0005-0000-0000-0000F5070000}"/>
    <cellStyle name="Comma 4 2 2 2 7 2" xfId="4176" xr:uid="{00000000-0005-0000-0000-0000F6070000}"/>
    <cellStyle name="Comma 4 2 2 2 7 2 2" xfId="8398" xr:uid="{00000000-0005-0000-0000-0000F7070000}"/>
    <cellStyle name="Comma 4 2 2 2 7 2 2 2" xfId="17724" xr:uid="{0C9FF254-13ED-4A9F-81DB-8F194FB67583}"/>
    <cellStyle name="Comma 4 2 2 2 7 2 3" xfId="13507" xr:uid="{7C29B170-7250-4750-BE2A-1E05083185E0}"/>
    <cellStyle name="Comma 4 2 2 2 7 3" xfId="6253" xr:uid="{00000000-0005-0000-0000-0000F8070000}"/>
    <cellStyle name="Comma 4 2 2 2 7 3 2" xfId="15579" xr:uid="{9E1D581D-7469-4A14-BCB3-1E602D33014E}"/>
    <cellStyle name="Comma 4 2 2 2 7 4" xfId="11362" xr:uid="{4100E782-7986-4CA7-B383-C44988D2CB53}"/>
    <cellStyle name="Comma 4 2 2 2 8" xfId="2382" xr:uid="{00000000-0005-0000-0000-0000F9070000}"/>
    <cellStyle name="Comma 4 2 2 2 8 2" xfId="6666" xr:uid="{00000000-0005-0000-0000-0000FA070000}"/>
    <cellStyle name="Comma 4 2 2 2 8 2 2" xfId="15992" xr:uid="{9E2442EF-823E-4D2E-BCB5-579980F2EE3A}"/>
    <cellStyle name="Comma 4 2 2 2 8 3" xfId="11775" xr:uid="{0B7F1236-D1EC-43C1-91E8-76CBAFF03B77}"/>
    <cellStyle name="Comma 4 2 2 2 9" xfId="2381" xr:uid="{00000000-0005-0000-0000-0000FB070000}"/>
    <cellStyle name="Comma 4 2 2 3" xfId="132" xr:uid="{00000000-0005-0000-0000-0000FC070000}"/>
    <cellStyle name="Comma 4 2 2 3 10" xfId="4604" xr:uid="{00000000-0005-0000-0000-0000FD070000}"/>
    <cellStyle name="Comma 4 2 2 3 10 2" xfId="13930" xr:uid="{60CC9D4F-7A48-4FA2-AED3-27BB06E55EFD}"/>
    <cellStyle name="Comma 4 2 2 3 11" xfId="8889" xr:uid="{93813409-C042-4436-8561-B0237A135E7D}"/>
    <cellStyle name="Comma 4 2 2 3 11 2" xfId="18213" xr:uid="{207AED93-DCDA-4E05-9DAC-4AE3D2BA8F55}"/>
    <cellStyle name="Comma 4 2 2 3 12" xfId="9713" xr:uid="{B3A9531A-0C55-454F-A6B8-EBACEEF00B93}"/>
    <cellStyle name="Comma 4 2 2 3 2" xfId="133" xr:uid="{00000000-0005-0000-0000-0000FE070000}"/>
    <cellStyle name="Comma 4 2 2 3 2 10" xfId="9096" xr:uid="{C395B6CC-7E3E-452B-B5AB-BBF992A45CEB}"/>
    <cellStyle name="Comma 4 2 2 3 2 10 2" xfId="18420" xr:uid="{E54FF437-BFC3-4703-BA44-A2642CF278CF}"/>
    <cellStyle name="Comma 4 2 2 3 2 11" xfId="9714" xr:uid="{8BC05B99-7E2F-47F3-82E4-1D666D22DA8C}"/>
    <cellStyle name="Comma 4 2 2 3 2 2" xfId="671" xr:uid="{00000000-0005-0000-0000-0000FF070000}"/>
    <cellStyle name="Comma 4 2 2 3 2 2 2" xfId="2942" xr:uid="{00000000-0005-0000-0000-000000080000}"/>
    <cellStyle name="Comma 4 2 2 3 2 2 2 2" xfId="7164" xr:uid="{00000000-0005-0000-0000-000001080000}"/>
    <cellStyle name="Comma 4 2 2 3 2 2 2 2 2" xfId="16490" xr:uid="{2CE62D4F-A543-44B2-B07B-F08AA4DA5776}"/>
    <cellStyle name="Comma 4 2 2 3 2 2 2 3" xfId="12273" xr:uid="{893B6326-9100-4CBB-A2B2-E2FE59FA475C}"/>
    <cellStyle name="Comma 4 2 2 3 2 2 3" xfId="5019" xr:uid="{00000000-0005-0000-0000-000002080000}"/>
    <cellStyle name="Comma 4 2 2 3 2 2 3 2" xfId="14345" xr:uid="{009173DD-FB17-47E0-92EA-416E2F66316F}"/>
    <cellStyle name="Comma 4 2 2 3 2 2 4" xfId="9521" xr:uid="{8F14F654-C711-4E70-8A06-71F68E70E2E0}"/>
    <cellStyle name="Comma 4 2 2 3 2 2 4 2" xfId="18836" xr:uid="{03D4A052-BAE8-41B9-9121-ABC9B7B5BF18}"/>
    <cellStyle name="Comma 4 2 2 3 2 2 5" xfId="10128" xr:uid="{8F807703-9796-426E-8085-DA82B8E75109}"/>
    <cellStyle name="Comma 4 2 2 3 2 3" xfId="1124" xr:uid="{00000000-0005-0000-0000-000003080000}"/>
    <cellStyle name="Comma 4 2 2 3 2 3 2" xfId="3355" xr:uid="{00000000-0005-0000-0000-000004080000}"/>
    <cellStyle name="Comma 4 2 2 3 2 3 2 2" xfId="7577" xr:uid="{00000000-0005-0000-0000-000005080000}"/>
    <cellStyle name="Comma 4 2 2 3 2 3 2 2 2" xfId="16903" xr:uid="{2EBA012E-4922-4C7A-9900-2D7808F1589C}"/>
    <cellStyle name="Comma 4 2 2 3 2 3 2 3" xfId="12686" xr:uid="{A46FBE33-8883-4552-8347-738B842AE15D}"/>
    <cellStyle name="Comma 4 2 2 3 2 3 3" xfId="5432" xr:uid="{00000000-0005-0000-0000-000006080000}"/>
    <cellStyle name="Comma 4 2 2 3 2 3 3 2" xfId="14758" xr:uid="{747E5989-AE46-4219-B2AB-7230AB184769}"/>
    <cellStyle name="Comma 4 2 2 3 2 3 4" xfId="10541" xr:uid="{4A031CAA-C559-4594-8418-AE30A6478B10}"/>
    <cellStyle name="Comma 4 2 2 3 2 4" xfId="1538" xr:uid="{00000000-0005-0000-0000-000007080000}"/>
    <cellStyle name="Comma 4 2 2 3 2 4 2" xfId="3768" xr:uid="{00000000-0005-0000-0000-000008080000}"/>
    <cellStyle name="Comma 4 2 2 3 2 4 2 2" xfId="7990" xr:uid="{00000000-0005-0000-0000-000009080000}"/>
    <cellStyle name="Comma 4 2 2 3 2 4 2 2 2" xfId="17316" xr:uid="{E076C132-210E-40D5-82C3-0583B68F6B81}"/>
    <cellStyle name="Comma 4 2 2 3 2 4 2 3" xfId="13099" xr:uid="{E9D997A8-EE9A-40D8-A205-8CE21E652CEE}"/>
    <cellStyle name="Comma 4 2 2 3 2 4 3" xfId="5845" xr:uid="{00000000-0005-0000-0000-00000A080000}"/>
    <cellStyle name="Comma 4 2 2 3 2 4 3 2" xfId="15171" xr:uid="{FD303FFB-AC01-46BE-A25F-2C908E3208DF}"/>
    <cellStyle name="Comma 4 2 2 3 2 4 4" xfId="10954" xr:uid="{BBA09E03-5A01-43A7-9962-C252FFBB3809}"/>
    <cellStyle name="Comma 4 2 2 3 2 5" xfId="1952" xr:uid="{00000000-0005-0000-0000-00000B080000}"/>
    <cellStyle name="Comma 4 2 2 3 2 5 2" xfId="4181" xr:uid="{00000000-0005-0000-0000-00000C080000}"/>
    <cellStyle name="Comma 4 2 2 3 2 5 2 2" xfId="8403" xr:uid="{00000000-0005-0000-0000-00000D080000}"/>
    <cellStyle name="Comma 4 2 2 3 2 5 2 2 2" xfId="17729" xr:uid="{39E799A9-5D52-49A0-A9E3-9875670C9D45}"/>
    <cellStyle name="Comma 4 2 2 3 2 5 2 3" xfId="13512" xr:uid="{4EC5655B-6E8E-4EEA-947E-884A2816713E}"/>
    <cellStyle name="Comma 4 2 2 3 2 5 3" xfId="6258" xr:uid="{00000000-0005-0000-0000-00000E080000}"/>
    <cellStyle name="Comma 4 2 2 3 2 5 3 2" xfId="15584" xr:uid="{8F5B232F-09A3-4FF8-8F63-14D81A567A06}"/>
    <cellStyle name="Comma 4 2 2 3 2 5 4" xfId="11367" xr:uid="{90454332-3DFA-40A2-82C3-78B86CB0FD6C}"/>
    <cellStyle name="Comma 4 2 2 3 2 6" xfId="2387" xr:uid="{00000000-0005-0000-0000-00000F080000}"/>
    <cellStyle name="Comma 4 2 2 3 2 6 2" xfId="6671" xr:uid="{00000000-0005-0000-0000-000010080000}"/>
    <cellStyle name="Comma 4 2 2 3 2 6 2 2" xfId="15997" xr:uid="{B1D59865-3FDD-44A7-884C-6BDB0BDD3D23}"/>
    <cellStyle name="Comma 4 2 2 3 2 6 3" xfId="11780" xr:uid="{29325C57-3482-4D4A-8D6F-3AE9C91FCACB}"/>
    <cellStyle name="Comma 4 2 2 3 2 7" xfId="2376" xr:uid="{00000000-0005-0000-0000-000011080000}"/>
    <cellStyle name="Comma 4 2 2 3 2 8" xfId="2765" xr:uid="{00000000-0005-0000-0000-000012080000}"/>
    <cellStyle name="Comma 4 2 2 3 2 8 2" xfId="6988" xr:uid="{00000000-0005-0000-0000-000013080000}"/>
    <cellStyle name="Comma 4 2 2 3 2 8 2 2" xfId="16314" xr:uid="{DF520E33-D601-46A6-B1A8-2B5C4D2AD685}"/>
    <cellStyle name="Comma 4 2 2 3 2 8 3" xfId="12097" xr:uid="{0AB00EBD-A2C5-401C-B9B4-66C6E93C1BBB}"/>
    <cellStyle name="Comma 4 2 2 3 2 9" xfId="4605" xr:uid="{00000000-0005-0000-0000-000014080000}"/>
    <cellStyle name="Comma 4 2 2 3 2 9 2" xfId="13931" xr:uid="{509805BA-350A-4891-84B0-84BA2CCE87E2}"/>
    <cellStyle name="Comma 4 2 2 3 3" xfId="670" xr:uid="{00000000-0005-0000-0000-000015080000}"/>
    <cellStyle name="Comma 4 2 2 3 3 2" xfId="2941" xr:uid="{00000000-0005-0000-0000-000016080000}"/>
    <cellStyle name="Comma 4 2 2 3 3 2 2" xfId="7163" xr:uid="{00000000-0005-0000-0000-000017080000}"/>
    <cellStyle name="Comma 4 2 2 3 3 2 2 2" xfId="16489" xr:uid="{EF5013D3-4A63-4AAF-BE99-9D38414C1D3E}"/>
    <cellStyle name="Comma 4 2 2 3 3 2 3" xfId="12272" xr:uid="{2A835D25-F6AC-4088-B16D-00733606184F}"/>
    <cellStyle name="Comma 4 2 2 3 3 3" xfId="5018" xr:uid="{00000000-0005-0000-0000-000018080000}"/>
    <cellStyle name="Comma 4 2 2 3 3 3 2" xfId="14344" xr:uid="{6DD11217-D6CD-45E1-AEFF-5C9CA3955327}"/>
    <cellStyle name="Comma 4 2 2 3 3 4" xfId="9314" xr:uid="{A74197AE-1229-40FC-8212-8FB289D74FF6}"/>
    <cellStyle name="Comma 4 2 2 3 3 4 2" xfId="18629" xr:uid="{FBCA8F9D-DEA7-41E6-9F9E-FF312C83FD76}"/>
    <cellStyle name="Comma 4 2 2 3 3 5" xfId="10127" xr:uid="{8F1CCDA4-785A-4C15-8EDC-62FCBD186582}"/>
    <cellStyle name="Comma 4 2 2 3 4" xfId="1123" xr:uid="{00000000-0005-0000-0000-000019080000}"/>
    <cellStyle name="Comma 4 2 2 3 4 2" xfId="3354" xr:uid="{00000000-0005-0000-0000-00001A080000}"/>
    <cellStyle name="Comma 4 2 2 3 4 2 2" xfId="7576" xr:uid="{00000000-0005-0000-0000-00001B080000}"/>
    <cellStyle name="Comma 4 2 2 3 4 2 2 2" xfId="16902" xr:uid="{F2E3D399-B2C1-49EF-A94B-7B370365D8AE}"/>
    <cellStyle name="Comma 4 2 2 3 4 2 3" xfId="12685" xr:uid="{30F92AB4-1B6F-42B0-83DD-69C9015BEEA1}"/>
    <cellStyle name="Comma 4 2 2 3 4 3" xfId="5431" xr:uid="{00000000-0005-0000-0000-00001C080000}"/>
    <cellStyle name="Comma 4 2 2 3 4 3 2" xfId="14757" xr:uid="{AC70B366-151E-48EA-9D8C-568EE14212B3}"/>
    <cellStyle name="Comma 4 2 2 3 4 4" xfId="10540" xr:uid="{E5E9D038-AC09-4AE8-876D-8A1F4036FB6C}"/>
    <cellStyle name="Comma 4 2 2 3 5" xfId="1537" xr:uid="{00000000-0005-0000-0000-00001D080000}"/>
    <cellStyle name="Comma 4 2 2 3 5 2" xfId="3767" xr:uid="{00000000-0005-0000-0000-00001E080000}"/>
    <cellStyle name="Comma 4 2 2 3 5 2 2" xfId="7989" xr:uid="{00000000-0005-0000-0000-00001F080000}"/>
    <cellStyle name="Comma 4 2 2 3 5 2 2 2" xfId="17315" xr:uid="{826D28E9-9DED-47E9-A901-C8B5622B4330}"/>
    <cellStyle name="Comma 4 2 2 3 5 2 3" xfId="13098" xr:uid="{F483F247-2D89-4F76-8D2A-C2FBC1FC7D3A}"/>
    <cellStyle name="Comma 4 2 2 3 5 3" xfId="5844" xr:uid="{00000000-0005-0000-0000-000020080000}"/>
    <cellStyle name="Comma 4 2 2 3 5 3 2" xfId="15170" xr:uid="{4DB5F974-CC5F-4334-8114-E166B7C79B9B}"/>
    <cellStyle name="Comma 4 2 2 3 5 4" xfId="10953" xr:uid="{5BC986A2-9263-4C12-873B-46B4BA7E501D}"/>
    <cellStyle name="Comma 4 2 2 3 6" xfId="1951" xr:uid="{00000000-0005-0000-0000-000021080000}"/>
    <cellStyle name="Comma 4 2 2 3 6 2" xfId="4180" xr:uid="{00000000-0005-0000-0000-000022080000}"/>
    <cellStyle name="Comma 4 2 2 3 6 2 2" xfId="8402" xr:uid="{00000000-0005-0000-0000-000023080000}"/>
    <cellStyle name="Comma 4 2 2 3 6 2 2 2" xfId="17728" xr:uid="{E2949A16-E446-48DF-8A45-0CBBD71C3F1F}"/>
    <cellStyle name="Comma 4 2 2 3 6 2 3" xfId="13511" xr:uid="{4B0E11DD-163B-43ED-9A82-D3BAB5B7D6B8}"/>
    <cellStyle name="Comma 4 2 2 3 6 3" xfId="6257" xr:uid="{00000000-0005-0000-0000-000024080000}"/>
    <cellStyle name="Comma 4 2 2 3 6 3 2" xfId="15583" xr:uid="{91A7EE1B-86C3-404C-AC65-39528CB121D5}"/>
    <cellStyle name="Comma 4 2 2 3 6 4" xfId="11366" xr:uid="{013C49A2-A72D-49C8-A429-9715D16448EB}"/>
    <cellStyle name="Comma 4 2 2 3 7" xfId="2386" xr:uid="{00000000-0005-0000-0000-000025080000}"/>
    <cellStyle name="Comma 4 2 2 3 7 2" xfId="6670" xr:uid="{00000000-0005-0000-0000-000026080000}"/>
    <cellStyle name="Comma 4 2 2 3 7 2 2" xfId="15996" xr:uid="{80CF2A1C-883F-4C56-95CD-1B050034E45C}"/>
    <cellStyle name="Comma 4 2 2 3 7 3" xfId="11779" xr:uid="{5F50D38C-6F06-4B38-8860-709FDBC0E626}"/>
    <cellStyle name="Comma 4 2 2 3 8" xfId="2377" xr:uid="{00000000-0005-0000-0000-000027080000}"/>
    <cellStyle name="Comma 4 2 2 3 9" xfId="2764" xr:uid="{00000000-0005-0000-0000-000028080000}"/>
    <cellStyle name="Comma 4 2 2 3 9 2" xfId="6987" xr:uid="{00000000-0005-0000-0000-000029080000}"/>
    <cellStyle name="Comma 4 2 2 3 9 2 2" xfId="16313" xr:uid="{BA8F3C23-E5B3-4BED-B438-8DDC4BB36865}"/>
    <cellStyle name="Comma 4 2 2 3 9 3" xfId="12096" xr:uid="{41919751-11C3-4C2B-AE97-186785B9033B}"/>
    <cellStyle name="Comma 4 2 2 4" xfId="134" xr:uid="{00000000-0005-0000-0000-00002A080000}"/>
    <cellStyle name="Comma 4 2 2 4 10" xfId="8993" xr:uid="{2969CB69-37C4-4C43-BC9D-87F92556F829}"/>
    <cellStyle name="Comma 4 2 2 4 10 2" xfId="18317" xr:uid="{1E3EAB89-696F-41FB-ABC9-84FB22F076DE}"/>
    <cellStyle name="Comma 4 2 2 4 11" xfId="9715" xr:uid="{AAC48838-E95B-48F4-9D9B-AD33728A039F}"/>
    <cellStyle name="Comma 4 2 2 4 2" xfId="672" xr:uid="{00000000-0005-0000-0000-00002B080000}"/>
    <cellStyle name="Comma 4 2 2 4 2 2" xfId="2943" xr:uid="{00000000-0005-0000-0000-00002C080000}"/>
    <cellStyle name="Comma 4 2 2 4 2 2 2" xfId="7165" xr:uid="{00000000-0005-0000-0000-00002D080000}"/>
    <cellStyle name="Comma 4 2 2 4 2 2 2 2" xfId="16491" xr:uid="{FCB3EF48-0168-4DEC-B52C-E8973274B6F2}"/>
    <cellStyle name="Comma 4 2 2 4 2 2 3" xfId="12274" xr:uid="{8405E8D2-3A8D-43B3-92C9-EBDA5EA167B0}"/>
    <cellStyle name="Comma 4 2 2 4 2 3" xfId="5020" xr:uid="{00000000-0005-0000-0000-00002E080000}"/>
    <cellStyle name="Comma 4 2 2 4 2 3 2" xfId="14346" xr:uid="{72CB2723-EF2D-41AE-9EB9-C36615E76EB9}"/>
    <cellStyle name="Comma 4 2 2 4 2 4" xfId="9418" xr:uid="{F2EB07B7-2227-485D-9411-A8F75EC2F9DA}"/>
    <cellStyle name="Comma 4 2 2 4 2 4 2" xfId="18733" xr:uid="{B0853905-F431-4324-A577-1309D969D2A3}"/>
    <cellStyle name="Comma 4 2 2 4 2 5" xfId="10129" xr:uid="{4E520718-E684-441D-9A78-F068C3C93CA7}"/>
    <cellStyle name="Comma 4 2 2 4 3" xfId="1125" xr:uid="{00000000-0005-0000-0000-00002F080000}"/>
    <cellStyle name="Comma 4 2 2 4 3 2" xfId="3356" xr:uid="{00000000-0005-0000-0000-000030080000}"/>
    <cellStyle name="Comma 4 2 2 4 3 2 2" xfId="7578" xr:uid="{00000000-0005-0000-0000-000031080000}"/>
    <cellStyle name="Comma 4 2 2 4 3 2 2 2" xfId="16904" xr:uid="{9C57D823-AC98-4CE7-B8CB-BE767F4BEF06}"/>
    <cellStyle name="Comma 4 2 2 4 3 2 3" xfId="12687" xr:uid="{41B66BA7-2506-4D71-A413-E70F07A1DC68}"/>
    <cellStyle name="Comma 4 2 2 4 3 3" xfId="5433" xr:uid="{00000000-0005-0000-0000-000032080000}"/>
    <cellStyle name="Comma 4 2 2 4 3 3 2" xfId="14759" xr:uid="{D42EA67B-B60F-4EF0-82AC-86B864866CB0}"/>
    <cellStyle name="Comma 4 2 2 4 3 4" xfId="10542" xr:uid="{65B00B7A-56FC-4021-937A-73680570FCCB}"/>
    <cellStyle name="Comma 4 2 2 4 4" xfId="1539" xr:uid="{00000000-0005-0000-0000-000033080000}"/>
    <cellStyle name="Comma 4 2 2 4 4 2" xfId="3769" xr:uid="{00000000-0005-0000-0000-000034080000}"/>
    <cellStyle name="Comma 4 2 2 4 4 2 2" xfId="7991" xr:uid="{00000000-0005-0000-0000-000035080000}"/>
    <cellStyle name="Comma 4 2 2 4 4 2 2 2" xfId="17317" xr:uid="{5D511C12-90AB-4F89-B04A-5FBC70BCC4DE}"/>
    <cellStyle name="Comma 4 2 2 4 4 2 3" xfId="13100" xr:uid="{86A2A804-E6FF-4589-B580-836EDBE696FA}"/>
    <cellStyle name="Comma 4 2 2 4 4 3" xfId="5846" xr:uid="{00000000-0005-0000-0000-000036080000}"/>
    <cellStyle name="Comma 4 2 2 4 4 3 2" xfId="15172" xr:uid="{D306C861-4BFC-436C-8E62-33B6B687BD0A}"/>
    <cellStyle name="Comma 4 2 2 4 4 4" xfId="10955" xr:uid="{05EFC743-6EB7-4D68-A5A9-B28210ECCAE4}"/>
    <cellStyle name="Comma 4 2 2 4 5" xfId="1953" xr:uid="{00000000-0005-0000-0000-000037080000}"/>
    <cellStyle name="Comma 4 2 2 4 5 2" xfId="4182" xr:uid="{00000000-0005-0000-0000-000038080000}"/>
    <cellStyle name="Comma 4 2 2 4 5 2 2" xfId="8404" xr:uid="{00000000-0005-0000-0000-000039080000}"/>
    <cellStyle name="Comma 4 2 2 4 5 2 2 2" xfId="17730" xr:uid="{47463DA2-39FB-4B58-AFEA-FAB32CE6EE42}"/>
    <cellStyle name="Comma 4 2 2 4 5 2 3" xfId="13513" xr:uid="{460244FA-DE35-407A-B8F6-345CE2ADA2FB}"/>
    <cellStyle name="Comma 4 2 2 4 5 3" xfId="6259" xr:uid="{00000000-0005-0000-0000-00003A080000}"/>
    <cellStyle name="Comma 4 2 2 4 5 3 2" xfId="15585" xr:uid="{57F64741-C656-4F5B-8DBC-CD5EB965A696}"/>
    <cellStyle name="Comma 4 2 2 4 5 4" xfId="11368" xr:uid="{72C50523-93EE-4F62-911C-F7570F768AFB}"/>
    <cellStyle name="Comma 4 2 2 4 6" xfId="2388" xr:uid="{00000000-0005-0000-0000-00003B080000}"/>
    <cellStyle name="Comma 4 2 2 4 6 2" xfId="6672" xr:uid="{00000000-0005-0000-0000-00003C080000}"/>
    <cellStyle name="Comma 4 2 2 4 6 2 2" xfId="15998" xr:uid="{5C1E404F-969F-47D2-B4A0-D827A397C918}"/>
    <cellStyle name="Comma 4 2 2 4 6 3" xfId="11781" xr:uid="{63A41D8C-FB0C-4C94-8196-66BADD992E7B}"/>
    <cellStyle name="Comma 4 2 2 4 7" xfId="2375" xr:uid="{00000000-0005-0000-0000-00003D080000}"/>
    <cellStyle name="Comma 4 2 2 4 8" xfId="2766" xr:uid="{00000000-0005-0000-0000-00003E080000}"/>
    <cellStyle name="Comma 4 2 2 4 8 2" xfId="6989" xr:uid="{00000000-0005-0000-0000-00003F080000}"/>
    <cellStyle name="Comma 4 2 2 4 8 2 2" xfId="16315" xr:uid="{77099576-7B4C-448A-B2E7-2292D4D3695C}"/>
    <cellStyle name="Comma 4 2 2 4 8 3" xfId="12098" xr:uid="{DEE27618-0EF7-46EE-83D5-E33D7C5255B6}"/>
    <cellStyle name="Comma 4 2 2 4 9" xfId="4606" xr:uid="{00000000-0005-0000-0000-000040080000}"/>
    <cellStyle name="Comma 4 2 2 4 9 2" xfId="13932" xr:uid="{F8D6F1C6-4EEE-4A32-8C1E-8D206FD9CBBE}"/>
    <cellStyle name="Comma 4 2 2 5" xfId="135" xr:uid="{00000000-0005-0000-0000-000041080000}"/>
    <cellStyle name="Comma 4 2 2 5 10" xfId="9210" xr:uid="{C1F9418B-EF96-4063-883D-A983E131C6A4}"/>
    <cellStyle name="Comma 4 2 2 5 10 2" xfId="18526" xr:uid="{3687EF3B-BB1C-4103-8F90-FD69ED0CC116}"/>
    <cellStyle name="Comma 4 2 2 5 11" xfId="9716" xr:uid="{DD343136-0004-4E0A-8B49-62D64D1A0C09}"/>
    <cellStyle name="Comma 4 2 2 5 2" xfId="673" xr:uid="{00000000-0005-0000-0000-000042080000}"/>
    <cellStyle name="Comma 4 2 2 5 2 2" xfId="2944" xr:uid="{00000000-0005-0000-0000-000043080000}"/>
    <cellStyle name="Comma 4 2 2 5 2 2 2" xfId="7166" xr:uid="{00000000-0005-0000-0000-000044080000}"/>
    <cellStyle name="Comma 4 2 2 5 2 2 2 2" xfId="16492" xr:uid="{5A238A2D-6DB0-4819-B126-74B56F1F32FA}"/>
    <cellStyle name="Comma 4 2 2 5 2 2 3" xfId="12275" xr:uid="{650D9536-4A05-42AE-94AA-86F8BCC486EA}"/>
    <cellStyle name="Comma 4 2 2 5 2 3" xfId="5021" xr:uid="{00000000-0005-0000-0000-000045080000}"/>
    <cellStyle name="Comma 4 2 2 5 2 3 2" xfId="14347" xr:uid="{73123F54-20D7-4199-A38D-000B26CAAB47}"/>
    <cellStyle name="Comma 4 2 2 5 2 4" xfId="9593" xr:uid="{3B41C66E-2108-4CBE-9776-211459781E55}"/>
    <cellStyle name="Comma 4 2 2 5 2 4 2" xfId="18897" xr:uid="{A7C9BEDA-3FE6-4ADE-9E16-61D24AC38E5A}"/>
    <cellStyle name="Comma 4 2 2 5 2 5" xfId="10130" xr:uid="{22664602-52A3-4535-B2AA-B1A5F87C53F7}"/>
    <cellStyle name="Comma 4 2 2 5 3" xfId="1126" xr:uid="{00000000-0005-0000-0000-000046080000}"/>
    <cellStyle name="Comma 4 2 2 5 3 2" xfId="3357" xr:uid="{00000000-0005-0000-0000-000047080000}"/>
    <cellStyle name="Comma 4 2 2 5 3 2 2" xfId="7579" xr:uid="{00000000-0005-0000-0000-000048080000}"/>
    <cellStyle name="Comma 4 2 2 5 3 2 2 2" xfId="16905" xr:uid="{8979A06F-44A0-4436-AFA0-28F91B82FD8A}"/>
    <cellStyle name="Comma 4 2 2 5 3 2 3" xfId="12688" xr:uid="{E9E79F98-722B-4FC3-8F2D-9C9B446AD88F}"/>
    <cellStyle name="Comma 4 2 2 5 3 3" xfId="5434" xr:uid="{00000000-0005-0000-0000-000049080000}"/>
    <cellStyle name="Comma 4 2 2 5 3 3 2" xfId="14760" xr:uid="{5895217E-F64E-4DD7-A221-6145579ED992}"/>
    <cellStyle name="Comma 4 2 2 5 3 4" xfId="10543" xr:uid="{F88C9BDB-0E8B-4422-AECA-6C33CB826299}"/>
    <cellStyle name="Comma 4 2 2 5 4" xfId="1540" xr:uid="{00000000-0005-0000-0000-00004A080000}"/>
    <cellStyle name="Comma 4 2 2 5 4 2" xfId="3770" xr:uid="{00000000-0005-0000-0000-00004B080000}"/>
    <cellStyle name="Comma 4 2 2 5 4 2 2" xfId="7992" xr:uid="{00000000-0005-0000-0000-00004C080000}"/>
    <cellStyle name="Comma 4 2 2 5 4 2 2 2" xfId="17318" xr:uid="{6E95B67D-AAC9-4160-9062-0FD72C488006}"/>
    <cellStyle name="Comma 4 2 2 5 4 2 3" xfId="13101" xr:uid="{1E6EB4D0-D686-46E9-A002-704CB61B1C43}"/>
    <cellStyle name="Comma 4 2 2 5 4 3" xfId="5847" xr:uid="{00000000-0005-0000-0000-00004D080000}"/>
    <cellStyle name="Comma 4 2 2 5 4 3 2" xfId="15173" xr:uid="{20B359EE-5168-45EF-AEAF-BB1A661742A5}"/>
    <cellStyle name="Comma 4 2 2 5 4 4" xfId="10956" xr:uid="{58461AF6-AF30-454D-8B2D-BFBA1D9B4612}"/>
    <cellStyle name="Comma 4 2 2 5 5" xfId="1954" xr:uid="{00000000-0005-0000-0000-00004E080000}"/>
    <cellStyle name="Comma 4 2 2 5 5 2" xfId="4183" xr:uid="{00000000-0005-0000-0000-00004F080000}"/>
    <cellStyle name="Comma 4 2 2 5 5 2 2" xfId="8405" xr:uid="{00000000-0005-0000-0000-000050080000}"/>
    <cellStyle name="Comma 4 2 2 5 5 2 2 2" xfId="17731" xr:uid="{2E820873-4F10-4516-898B-6872DE3EAE17}"/>
    <cellStyle name="Comma 4 2 2 5 5 2 3" xfId="13514" xr:uid="{EFD9DDB1-F702-4A20-B7FE-CE83A858DD3E}"/>
    <cellStyle name="Comma 4 2 2 5 5 3" xfId="6260" xr:uid="{00000000-0005-0000-0000-000051080000}"/>
    <cellStyle name="Comma 4 2 2 5 5 3 2" xfId="15586" xr:uid="{DF02CBD6-3CDC-44D3-8443-785F3068E2A7}"/>
    <cellStyle name="Comma 4 2 2 5 5 4" xfId="11369" xr:uid="{75886F33-BDB0-4609-A6FD-5DF3D797CC4F}"/>
    <cellStyle name="Comma 4 2 2 5 6" xfId="2389" xr:uid="{00000000-0005-0000-0000-000052080000}"/>
    <cellStyle name="Comma 4 2 2 5 6 2" xfId="6673" xr:uid="{00000000-0005-0000-0000-000053080000}"/>
    <cellStyle name="Comma 4 2 2 5 6 2 2" xfId="15999" xr:uid="{63EF7B9B-1307-4397-9BB2-B5E16F32B80C}"/>
    <cellStyle name="Comma 4 2 2 5 6 3" xfId="11782" xr:uid="{42879BDD-DFF2-4FDD-8842-79B17F2CF7AD}"/>
    <cellStyle name="Comma 4 2 2 5 7" xfId="2374" xr:uid="{00000000-0005-0000-0000-000054080000}"/>
    <cellStyle name="Comma 4 2 2 5 8" xfId="2767" xr:uid="{00000000-0005-0000-0000-000055080000}"/>
    <cellStyle name="Comma 4 2 2 5 8 2" xfId="6990" xr:uid="{00000000-0005-0000-0000-000056080000}"/>
    <cellStyle name="Comma 4 2 2 5 8 2 2" xfId="16316" xr:uid="{36A34C87-8934-4E13-8ED2-BB9DC78AAE94}"/>
    <cellStyle name="Comma 4 2 2 5 8 3" xfId="12099" xr:uid="{661210DD-61FC-4A88-8D52-0548FADD290E}"/>
    <cellStyle name="Comma 4 2 2 5 9" xfId="4607" xr:uid="{00000000-0005-0000-0000-000057080000}"/>
    <cellStyle name="Comma 4 2 2 5 9 2" xfId="13933" xr:uid="{B0DFDF3D-52AE-47F5-A1B4-27F8AEF00257}"/>
    <cellStyle name="Comma 4 2 2 6" xfId="9228" xr:uid="{49D8FCED-23A7-48B2-8D10-F90787B2F62D}"/>
    <cellStyle name="Comma 4 2 2 7" xfId="8786" xr:uid="{8FDBE9F4-5F27-4B1B-A262-D62BF874EF16}"/>
    <cellStyle name="Comma 4 2 2 7 2" xfId="18110" xr:uid="{E13157A8-710B-4EFE-8711-4790016FA873}"/>
    <cellStyle name="Comma 4 2 3" xfId="136" xr:uid="{00000000-0005-0000-0000-000058080000}"/>
    <cellStyle name="Comma 4 2 3 10" xfId="2768" xr:uid="{00000000-0005-0000-0000-000059080000}"/>
    <cellStyle name="Comma 4 2 3 10 2" xfId="6991" xr:uid="{00000000-0005-0000-0000-00005A080000}"/>
    <cellStyle name="Comma 4 2 3 10 2 2" xfId="16317" xr:uid="{C7B5293C-3F5A-4BC3-9757-9513C929C88E}"/>
    <cellStyle name="Comma 4 2 3 10 3" xfId="12100" xr:uid="{3C8D1EF1-9457-4F83-9F8A-E450F3DDF829}"/>
    <cellStyle name="Comma 4 2 3 11" xfId="4608" xr:uid="{00000000-0005-0000-0000-00005B080000}"/>
    <cellStyle name="Comma 4 2 3 11 2" xfId="13934" xr:uid="{15784627-9407-4F5F-A168-79B8E1E50D04}"/>
    <cellStyle name="Comma 4 2 3 12" xfId="8805" xr:uid="{C45527F6-07B7-4887-BAF3-A6424444BA3B}"/>
    <cellStyle name="Comma 4 2 3 12 2" xfId="18129" xr:uid="{1B3D11C2-2DC6-4142-BEB9-BEA9D2EC0DFB}"/>
    <cellStyle name="Comma 4 2 3 13" xfId="9717" xr:uid="{02C78260-3E87-4D42-9F13-D4E7FB35721D}"/>
    <cellStyle name="Comma 4 2 3 2" xfId="137" xr:uid="{00000000-0005-0000-0000-00005C080000}"/>
    <cellStyle name="Comma 4 2 3 2 10" xfId="4609" xr:uid="{00000000-0005-0000-0000-00005D080000}"/>
    <cellStyle name="Comma 4 2 3 2 10 2" xfId="13935" xr:uid="{477D06D6-32ED-4086-9162-AA7B0E5301E2}"/>
    <cellStyle name="Comma 4 2 3 2 11" xfId="8908" xr:uid="{E7021C11-E6EB-4392-A0AD-2A78F42B4BB7}"/>
    <cellStyle name="Comma 4 2 3 2 11 2" xfId="18232" xr:uid="{58604653-8343-4C91-8EA3-8F30E9BA08D8}"/>
    <cellStyle name="Comma 4 2 3 2 12" xfId="9718" xr:uid="{A025B41D-1158-4037-BDAC-1F0E5CF1EE62}"/>
    <cellStyle name="Comma 4 2 3 2 2" xfId="138" xr:uid="{00000000-0005-0000-0000-00005E080000}"/>
    <cellStyle name="Comma 4 2 3 2 2 10" xfId="9115" xr:uid="{1A31CCC4-B2C0-4E0C-B714-855521500FE8}"/>
    <cellStyle name="Comma 4 2 3 2 2 10 2" xfId="18439" xr:uid="{4D6F897B-11D5-42E3-9FA8-3618E76060BD}"/>
    <cellStyle name="Comma 4 2 3 2 2 11" xfId="9719" xr:uid="{7B1DA191-0FF1-4ACE-9098-E275B1BDAC54}"/>
    <cellStyle name="Comma 4 2 3 2 2 2" xfId="676" xr:uid="{00000000-0005-0000-0000-00005F080000}"/>
    <cellStyle name="Comma 4 2 3 2 2 2 2" xfId="2947" xr:uid="{00000000-0005-0000-0000-000060080000}"/>
    <cellStyle name="Comma 4 2 3 2 2 2 2 2" xfId="7169" xr:uid="{00000000-0005-0000-0000-000061080000}"/>
    <cellStyle name="Comma 4 2 3 2 2 2 2 2 2" xfId="16495" xr:uid="{8AD2CC8E-06C0-483E-B738-A02BD36C8605}"/>
    <cellStyle name="Comma 4 2 3 2 2 2 2 3" xfId="12278" xr:uid="{ACFA96C5-1C54-4F32-A779-600743B5F7FB}"/>
    <cellStyle name="Comma 4 2 3 2 2 2 3" xfId="5024" xr:uid="{00000000-0005-0000-0000-000062080000}"/>
    <cellStyle name="Comma 4 2 3 2 2 2 3 2" xfId="14350" xr:uid="{AF9ACC1B-43D9-418C-8991-DF74081F2AFD}"/>
    <cellStyle name="Comma 4 2 3 2 2 2 4" xfId="9540" xr:uid="{F922DD27-FEAE-4DB6-894F-26CD58815668}"/>
    <cellStyle name="Comma 4 2 3 2 2 2 4 2" xfId="18855" xr:uid="{1E5E5D3D-04C4-43B9-BBF2-ABFB1C5A68EF}"/>
    <cellStyle name="Comma 4 2 3 2 2 2 5" xfId="10133" xr:uid="{E97A3BE8-ACC5-492D-B176-AE9A8C86A96F}"/>
    <cellStyle name="Comma 4 2 3 2 2 3" xfId="1129" xr:uid="{00000000-0005-0000-0000-000063080000}"/>
    <cellStyle name="Comma 4 2 3 2 2 3 2" xfId="3360" xr:uid="{00000000-0005-0000-0000-000064080000}"/>
    <cellStyle name="Comma 4 2 3 2 2 3 2 2" xfId="7582" xr:uid="{00000000-0005-0000-0000-000065080000}"/>
    <cellStyle name="Comma 4 2 3 2 2 3 2 2 2" xfId="16908" xr:uid="{18BBB671-A844-4CA4-975B-8FEF92BA4451}"/>
    <cellStyle name="Comma 4 2 3 2 2 3 2 3" xfId="12691" xr:uid="{D57FDCCA-F793-4A11-A266-1E3CE32119D8}"/>
    <cellStyle name="Comma 4 2 3 2 2 3 3" xfId="5437" xr:uid="{00000000-0005-0000-0000-000066080000}"/>
    <cellStyle name="Comma 4 2 3 2 2 3 3 2" xfId="14763" xr:uid="{01768D67-7DDF-4741-993B-53E3D181FD13}"/>
    <cellStyle name="Comma 4 2 3 2 2 3 4" xfId="10546" xr:uid="{FEFE9C80-87FC-40A3-8A0C-B56B3941422C}"/>
    <cellStyle name="Comma 4 2 3 2 2 4" xfId="1543" xr:uid="{00000000-0005-0000-0000-000067080000}"/>
    <cellStyle name="Comma 4 2 3 2 2 4 2" xfId="3773" xr:uid="{00000000-0005-0000-0000-000068080000}"/>
    <cellStyle name="Comma 4 2 3 2 2 4 2 2" xfId="7995" xr:uid="{00000000-0005-0000-0000-000069080000}"/>
    <cellStyle name="Comma 4 2 3 2 2 4 2 2 2" xfId="17321" xr:uid="{B294ADC5-936D-46CD-98E4-FDF24FA470B1}"/>
    <cellStyle name="Comma 4 2 3 2 2 4 2 3" xfId="13104" xr:uid="{0A3EC8A5-0788-4BF0-A2DA-BC63A1E6C294}"/>
    <cellStyle name="Comma 4 2 3 2 2 4 3" xfId="5850" xr:uid="{00000000-0005-0000-0000-00006A080000}"/>
    <cellStyle name="Comma 4 2 3 2 2 4 3 2" xfId="15176" xr:uid="{C509DFD9-E74B-4385-8E8B-04C43C3080E3}"/>
    <cellStyle name="Comma 4 2 3 2 2 4 4" xfId="10959" xr:uid="{43AB86BE-FA09-426B-A596-B2E9E07AD5AD}"/>
    <cellStyle name="Comma 4 2 3 2 2 5" xfId="1957" xr:uid="{00000000-0005-0000-0000-00006B080000}"/>
    <cellStyle name="Comma 4 2 3 2 2 5 2" xfId="4186" xr:uid="{00000000-0005-0000-0000-00006C080000}"/>
    <cellStyle name="Comma 4 2 3 2 2 5 2 2" xfId="8408" xr:uid="{00000000-0005-0000-0000-00006D080000}"/>
    <cellStyle name="Comma 4 2 3 2 2 5 2 2 2" xfId="17734" xr:uid="{1A63846E-1CFF-4226-83A8-4D41DC179B4D}"/>
    <cellStyle name="Comma 4 2 3 2 2 5 2 3" xfId="13517" xr:uid="{06670A87-52E1-4A6F-A219-0C476C287A1C}"/>
    <cellStyle name="Comma 4 2 3 2 2 5 3" xfId="6263" xr:uid="{00000000-0005-0000-0000-00006E080000}"/>
    <cellStyle name="Comma 4 2 3 2 2 5 3 2" xfId="15589" xr:uid="{D7954394-8F3E-43C5-95B7-27833D1E977C}"/>
    <cellStyle name="Comma 4 2 3 2 2 5 4" xfId="11372" xr:uid="{7D7B1C73-37B2-44F8-B7EE-DC5556E0615C}"/>
    <cellStyle name="Comma 4 2 3 2 2 6" xfId="2392" xr:uid="{00000000-0005-0000-0000-00006F080000}"/>
    <cellStyle name="Comma 4 2 3 2 2 6 2" xfId="6676" xr:uid="{00000000-0005-0000-0000-000070080000}"/>
    <cellStyle name="Comma 4 2 3 2 2 6 2 2" xfId="16002" xr:uid="{514B479C-C57B-4BD2-BF60-5DADD7F58394}"/>
    <cellStyle name="Comma 4 2 3 2 2 6 3" xfId="11785" xr:uid="{12763249-5F0F-425F-A34D-1F14AEB2F523}"/>
    <cellStyle name="Comma 4 2 3 2 2 7" xfId="2371" xr:uid="{00000000-0005-0000-0000-000071080000}"/>
    <cellStyle name="Comma 4 2 3 2 2 8" xfId="2770" xr:uid="{00000000-0005-0000-0000-000072080000}"/>
    <cellStyle name="Comma 4 2 3 2 2 8 2" xfId="6993" xr:uid="{00000000-0005-0000-0000-000073080000}"/>
    <cellStyle name="Comma 4 2 3 2 2 8 2 2" xfId="16319" xr:uid="{A5F9C215-108F-4928-8784-79101AB02226}"/>
    <cellStyle name="Comma 4 2 3 2 2 8 3" xfId="12102" xr:uid="{A748392A-7731-42FE-8E96-DB6DEFEB1838}"/>
    <cellStyle name="Comma 4 2 3 2 2 9" xfId="4610" xr:uid="{00000000-0005-0000-0000-000074080000}"/>
    <cellStyle name="Comma 4 2 3 2 2 9 2" xfId="13936" xr:uid="{CF6065B1-4C28-4A90-A690-F08FB91C6976}"/>
    <cellStyle name="Comma 4 2 3 2 3" xfId="675" xr:uid="{00000000-0005-0000-0000-000075080000}"/>
    <cellStyle name="Comma 4 2 3 2 3 2" xfId="2946" xr:uid="{00000000-0005-0000-0000-000076080000}"/>
    <cellStyle name="Comma 4 2 3 2 3 2 2" xfId="7168" xr:uid="{00000000-0005-0000-0000-000077080000}"/>
    <cellStyle name="Comma 4 2 3 2 3 2 2 2" xfId="16494" xr:uid="{2A44FC7B-B636-4FFE-A611-2E0DC95E823F}"/>
    <cellStyle name="Comma 4 2 3 2 3 2 3" xfId="12277" xr:uid="{B1A6A141-8A06-4E03-966E-19111894550B}"/>
    <cellStyle name="Comma 4 2 3 2 3 3" xfId="5023" xr:uid="{00000000-0005-0000-0000-000078080000}"/>
    <cellStyle name="Comma 4 2 3 2 3 3 2" xfId="14349" xr:uid="{470FA443-478C-41A3-AE2D-E49A07E8D9A7}"/>
    <cellStyle name="Comma 4 2 3 2 3 4" xfId="9333" xr:uid="{5C974796-1B06-4FA8-AB2A-F6B34628ACD4}"/>
    <cellStyle name="Comma 4 2 3 2 3 4 2" xfId="18648" xr:uid="{34B30CB9-C76D-4D9E-A807-3FA3960169C2}"/>
    <cellStyle name="Comma 4 2 3 2 3 5" xfId="10132" xr:uid="{3F860735-621C-4991-8D67-1268E7D5EBBD}"/>
    <cellStyle name="Comma 4 2 3 2 4" xfId="1128" xr:uid="{00000000-0005-0000-0000-000079080000}"/>
    <cellStyle name="Comma 4 2 3 2 4 2" xfId="3359" xr:uid="{00000000-0005-0000-0000-00007A080000}"/>
    <cellStyle name="Comma 4 2 3 2 4 2 2" xfId="7581" xr:uid="{00000000-0005-0000-0000-00007B080000}"/>
    <cellStyle name="Comma 4 2 3 2 4 2 2 2" xfId="16907" xr:uid="{871C4D6A-D596-46CB-84C9-FED6A3AFF768}"/>
    <cellStyle name="Comma 4 2 3 2 4 2 3" xfId="12690" xr:uid="{8A3CFAD2-B6A4-4010-8ED1-A0A7144DE4B1}"/>
    <cellStyle name="Comma 4 2 3 2 4 3" xfId="5436" xr:uid="{00000000-0005-0000-0000-00007C080000}"/>
    <cellStyle name="Comma 4 2 3 2 4 3 2" xfId="14762" xr:uid="{43BD0A59-D639-4B55-897D-136741E363C8}"/>
    <cellStyle name="Comma 4 2 3 2 4 4" xfId="10545" xr:uid="{2D940EC8-FD34-4E63-81F2-F4196C6891C0}"/>
    <cellStyle name="Comma 4 2 3 2 5" xfId="1542" xr:uid="{00000000-0005-0000-0000-00007D080000}"/>
    <cellStyle name="Comma 4 2 3 2 5 2" xfId="3772" xr:uid="{00000000-0005-0000-0000-00007E080000}"/>
    <cellStyle name="Comma 4 2 3 2 5 2 2" xfId="7994" xr:uid="{00000000-0005-0000-0000-00007F080000}"/>
    <cellStyle name="Comma 4 2 3 2 5 2 2 2" xfId="17320" xr:uid="{90B94010-2915-4371-8DFF-2FAE87331682}"/>
    <cellStyle name="Comma 4 2 3 2 5 2 3" xfId="13103" xr:uid="{3E56D016-AA7D-4E22-92EA-735E9E06BE80}"/>
    <cellStyle name="Comma 4 2 3 2 5 3" xfId="5849" xr:uid="{00000000-0005-0000-0000-000080080000}"/>
    <cellStyle name="Comma 4 2 3 2 5 3 2" xfId="15175" xr:uid="{CBD801A5-CA24-41A4-8FA0-4D1E04E39E27}"/>
    <cellStyle name="Comma 4 2 3 2 5 4" xfId="10958" xr:uid="{E3AFA332-293D-499A-BDF0-3CFE69D7FF8D}"/>
    <cellStyle name="Comma 4 2 3 2 6" xfId="1956" xr:uid="{00000000-0005-0000-0000-000081080000}"/>
    <cellStyle name="Comma 4 2 3 2 6 2" xfId="4185" xr:uid="{00000000-0005-0000-0000-000082080000}"/>
    <cellStyle name="Comma 4 2 3 2 6 2 2" xfId="8407" xr:uid="{00000000-0005-0000-0000-000083080000}"/>
    <cellStyle name="Comma 4 2 3 2 6 2 2 2" xfId="17733" xr:uid="{3707BC32-BCDA-4EA0-AC2D-73965E7318E5}"/>
    <cellStyle name="Comma 4 2 3 2 6 2 3" xfId="13516" xr:uid="{2FE30612-D4BF-48FB-90C1-F7B0BCE05719}"/>
    <cellStyle name="Comma 4 2 3 2 6 3" xfId="6262" xr:uid="{00000000-0005-0000-0000-000084080000}"/>
    <cellStyle name="Comma 4 2 3 2 6 3 2" xfId="15588" xr:uid="{4F3D5057-F22B-4B54-8DE4-034C16E55E47}"/>
    <cellStyle name="Comma 4 2 3 2 6 4" xfId="11371" xr:uid="{F3DEA659-7158-4358-8B98-8427613A204E}"/>
    <cellStyle name="Comma 4 2 3 2 7" xfId="2391" xr:uid="{00000000-0005-0000-0000-000085080000}"/>
    <cellStyle name="Comma 4 2 3 2 7 2" xfId="6675" xr:uid="{00000000-0005-0000-0000-000086080000}"/>
    <cellStyle name="Comma 4 2 3 2 7 2 2" xfId="16001" xr:uid="{1CAE14A2-AC86-4E45-9E0D-9A3742940BBC}"/>
    <cellStyle name="Comma 4 2 3 2 7 3" xfId="11784" xr:uid="{C396B609-4522-41F5-A458-7E3CC9728D39}"/>
    <cellStyle name="Comma 4 2 3 2 8" xfId="2372" xr:uid="{00000000-0005-0000-0000-000087080000}"/>
    <cellStyle name="Comma 4 2 3 2 9" xfId="2769" xr:uid="{00000000-0005-0000-0000-000088080000}"/>
    <cellStyle name="Comma 4 2 3 2 9 2" xfId="6992" xr:uid="{00000000-0005-0000-0000-000089080000}"/>
    <cellStyle name="Comma 4 2 3 2 9 2 2" xfId="16318" xr:uid="{7AAEAB42-7B29-4AB4-B862-8F12D1494641}"/>
    <cellStyle name="Comma 4 2 3 2 9 3" xfId="12101" xr:uid="{4FC5BEF6-FCB8-4922-BADA-404341C8C7FA}"/>
    <cellStyle name="Comma 4 2 3 3" xfId="139" xr:uid="{00000000-0005-0000-0000-00008A080000}"/>
    <cellStyle name="Comma 4 2 3 3 10" xfId="9012" xr:uid="{61C0F117-76A9-43CA-B381-88B2CFF6294C}"/>
    <cellStyle name="Comma 4 2 3 3 10 2" xfId="18336" xr:uid="{A823CD97-4FDD-416E-9F36-C947BCA32CF8}"/>
    <cellStyle name="Comma 4 2 3 3 11" xfId="9720" xr:uid="{6F7B2FF5-7C94-4C49-B7DF-957F26166A9D}"/>
    <cellStyle name="Comma 4 2 3 3 2" xfId="677" xr:uid="{00000000-0005-0000-0000-00008B080000}"/>
    <cellStyle name="Comma 4 2 3 3 2 2" xfId="2948" xr:uid="{00000000-0005-0000-0000-00008C080000}"/>
    <cellStyle name="Comma 4 2 3 3 2 2 2" xfId="7170" xr:uid="{00000000-0005-0000-0000-00008D080000}"/>
    <cellStyle name="Comma 4 2 3 3 2 2 2 2" xfId="16496" xr:uid="{AD864326-CC72-4717-A22C-F311C17A7FC2}"/>
    <cellStyle name="Comma 4 2 3 3 2 2 3" xfId="12279" xr:uid="{F72FFE99-10F4-4D98-8B4A-DD21AB5E1AC7}"/>
    <cellStyle name="Comma 4 2 3 3 2 3" xfId="5025" xr:uid="{00000000-0005-0000-0000-00008E080000}"/>
    <cellStyle name="Comma 4 2 3 3 2 3 2" xfId="14351" xr:uid="{6B688437-CD58-46E6-91EC-C59F228C84DB}"/>
    <cellStyle name="Comma 4 2 3 3 2 4" xfId="9437" xr:uid="{35C6809B-E49F-4A7F-8CB1-650474E72B0A}"/>
    <cellStyle name="Comma 4 2 3 3 2 4 2" xfId="18752" xr:uid="{6EF51F4C-8679-44D8-94A1-691167FC4EDD}"/>
    <cellStyle name="Comma 4 2 3 3 2 5" xfId="10134" xr:uid="{82C45CB8-485C-4198-AA30-D22C47AB67DD}"/>
    <cellStyle name="Comma 4 2 3 3 3" xfId="1130" xr:uid="{00000000-0005-0000-0000-00008F080000}"/>
    <cellStyle name="Comma 4 2 3 3 3 2" xfId="3361" xr:uid="{00000000-0005-0000-0000-000090080000}"/>
    <cellStyle name="Comma 4 2 3 3 3 2 2" xfId="7583" xr:uid="{00000000-0005-0000-0000-000091080000}"/>
    <cellStyle name="Comma 4 2 3 3 3 2 2 2" xfId="16909" xr:uid="{8F75EDF9-E3E4-412C-9134-6100AACDED38}"/>
    <cellStyle name="Comma 4 2 3 3 3 2 3" xfId="12692" xr:uid="{A26D752E-6CA9-47B6-9D12-348675FC7236}"/>
    <cellStyle name="Comma 4 2 3 3 3 3" xfId="5438" xr:uid="{00000000-0005-0000-0000-000092080000}"/>
    <cellStyle name="Comma 4 2 3 3 3 3 2" xfId="14764" xr:uid="{23F555BC-E060-4373-94CB-DEC2B7CBCC6B}"/>
    <cellStyle name="Comma 4 2 3 3 3 4" xfId="10547" xr:uid="{8FF724AD-2FB1-4E70-B8A0-71AFABE544F7}"/>
    <cellStyle name="Comma 4 2 3 3 4" xfId="1544" xr:uid="{00000000-0005-0000-0000-000093080000}"/>
    <cellStyle name="Comma 4 2 3 3 4 2" xfId="3774" xr:uid="{00000000-0005-0000-0000-000094080000}"/>
    <cellStyle name="Comma 4 2 3 3 4 2 2" xfId="7996" xr:uid="{00000000-0005-0000-0000-000095080000}"/>
    <cellStyle name="Comma 4 2 3 3 4 2 2 2" xfId="17322" xr:uid="{0EC47586-C949-4B35-8D6A-F42D144A8BE2}"/>
    <cellStyle name="Comma 4 2 3 3 4 2 3" xfId="13105" xr:uid="{1E2403B5-F439-4743-9D65-A533013C1083}"/>
    <cellStyle name="Comma 4 2 3 3 4 3" xfId="5851" xr:uid="{00000000-0005-0000-0000-000096080000}"/>
    <cellStyle name="Comma 4 2 3 3 4 3 2" xfId="15177" xr:uid="{6F020BAB-0380-4BE3-8F7D-86E7B9907B60}"/>
    <cellStyle name="Comma 4 2 3 3 4 4" xfId="10960" xr:uid="{F29D8E35-078D-417F-BA97-A53D14051859}"/>
    <cellStyle name="Comma 4 2 3 3 5" xfId="1958" xr:uid="{00000000-0005-0000-0000-000097080000}"/>
    <cellStyle name="Comma 4 2 3 3 5 2" xfId="4187" xr:uid="{00000000-0005-0000-0000-000098080000}"/>
    <cellStyle name="Comma 4 2 3 3 5 2 2" xfId="8409" xr:uid="{00000000-0005-0000-0000-000099080000}"/>
    <cellStyle name="Comma 4 2 3 3 5 2 2 2" xfId="17735" xr:uid="{E90D1067-FC76-4A1C-97A6-2E75BCA06CDE}"/>
    <cellStyle name="Comma 4 2 3 3 5 2 3" xfId="13518" xr:uid="{FC0AC3BC-CC1C-4A6E-A7EA-2F03FCDA9ACA}"/>
    <cellStyle name="Comma 4 2 3 3 5 3" xfId="6264" xr:uid="{00000000-0005-0000-0000-00009A080000}"/>
    <cellStyle name="Comma 4 2 3 3 5 3 2" xfId="15590" xr:uid="{6FF72F67-5DB8-4BA3-9FC9-70B122D35904}"/>
    <cellStyle name="Comma 4 2 3 3 5 4" xfId="11373" xr:uid="{B9561452-CD20-4EC3-80D7-4E073B73D04B}"/>
    <cellStyle name="Comma 4 2 3 3 6" xfId="2393" xr:uid="{00000000-0005-0000-0000-00009B080000}"/>
    <cellStyle name="Comma 4 2 3 3 6 2" xfId="6677" xr:uid="{00000000-0005-0000-0000-00009C080000}"/>
    <cellStyle name="Comma 4 2 3 3 6 2 2" xfId="16003" xr:uid="{F8AE37D2-49BA-4435-BE92-C616BC804A0F}"/>
    <cellStyle name="Comma 4 2 3 3 6 3" xfId="11786" xr:uid="{1CA70262-D9CE-4239-B61F-B500EBC4A12F}"/>
    <cellStyle name="Comma 4 2 3 3 7" xfId="2370" xr:uid="{00000000-0005-0000-0000-00009D080000}"/>
    <cellStyle name="Comma 4 2 3 3 8" xfId="2771" xr:uid="{00000000-0005-0000-0000-00009E080000}"/>
    <cellStyle name="Comma 4 2 3 3 8 2" xfId="6994" xr:uid="{00000000-0005-0000-0000-00009F080000}"/>
    <cellStyle name="Comma 4 2 3 3 8 2 2" xfId="16320" xr:uid="{8EA20220-C32C-4CF5-9BA1-6F3D51191F32}"/>
    <cellStyle name="Comma 4 2 3 3 8 3" xfId="12103" xr:uid="{D9E92369-683B-412F-920D-BFC8830C1714}"/>
    <cellStyle name="Comma 4 2 3 3 9" xfId="4611" xr:uid="{00000000-0005-0000-0000-0000A0080000}"/>
    <cellStyle name="Comma 4 2 3 3 9 2" xfId="13937" xr:uid="{25BE211D-19FA-4F71-9C83-1D5562A9F2F1}"/>
    <cellStyle name="Comma 4 2 3 4" xfId="674" xr:uid="{00000000-0005-0000-0000-0000A1080000}"/>
    <cellStyle name="Comma 4 2 3 4 2" xfId="2945" xr:uid="{00000000-0005-0000-0000-0000A2080000}"/>
    <cellStyle name="Comma 4 2 3 4 2 2" xfId="7167" xr:uid="{00000000-0005-0000-0000-0000A3080000}"/>
    <cellStyle name="Comma 4 2 3 4 2 2 2" xfId="16493" xr:uid="{6C46C2EA-1E99-48AA-B8A0-7ABE3816AFDA}"/>
    <cellStyle name="Comma 4 2 3 4 2 3" xfId="12276" xr:uid="{B3CF0A42-915B-4382-9DDB-04124888E11E}"/>
    <cellStyle name="Comma 4 2 3 4 3" xfId="5022" xr:uid="{00000000-0005-0000-0000-0000A4080000}"/>
    <cellStyle name="Comma 4 2 3 4 3 2" xfId="14348" xr:uid="{FD351407-3A37-4D20-AB2B-33D1111AF3F7}"/>
    <cellStyle name="Comma 4 2 3 4 4" xfId="9230" xr:uid="{24B6B749-023F-4009-8785-C6CFE1098E24}"/>
    <cellStyle name="Comma 4 2 3 4 4 2" xfId="18545" xr:uid="{C41791A1-A10A-49AB-AD06-2E68D544914E}"/>
    <cellStyle name="Comma 4 2 3 4 5" xfId="10131" xr:uid="{8520847C-308D-4C54-B866-B57BB928E0BA}"/>
    <cellStyle name="Comma 4 2 3 5" xfId="1127" xr:uid="{00000000-0005-0000-0000-0000A5080000}"/>
    <cellStyle name="Comma 4 2 3 5 2" xfId="3358" xr:uid="{00000000-0005-0000-0000-0000A6080000}"/>
    <cellStyle name="Comma 4 2 3 5 2 2" xfId="7580" xr:uid="{00000000-0005-0000-0000-0000A7080000}"/>
    <cellStyle name="Comma 4 2 3 5 2 2 2" xfId="16906" xr:uid="{B07D7CE7-7120-4275-9A89-20FAF6117450}"/>
    <cellStyle name="Comma 4 2 3 5 2 3" xfId="12689" xr:uid="{37451D4B-F747-49F0-A430-40C510221833}"/>
    <cellStyle name="Comma 4 2 3 5 3" xfId="5435" xr:uid="{00000000-0005-0000-0000-0000A8080000}"/>
    <cellStyle name="Comma 4 2 3 5 3 2" xfId="14761" xr:uid="{87C47952-E28A-4196-8B41-E0F057E079C6}"/>
    <cellStyle name="Comma 4 2 3 5 4" xfId="10544" xr:uid="{0EAE674D-7BDE-4B4F-BE46-7CFFE8D1411B}"/>
    <cellStyle name="Comma 4 2 3 6" xfId="1541" xr:uid="{00000000-0005-0000-0000-0000A9080000}"/>
    <cellStyle name="Comma 4 2 3 6 2" xfId="3771" xr:uid="{00000000-0005-0000-0000-0000AA080000}"/>
    <cellStyle name="Comma 4 2 3 6 2 2" xfId="7993" xr:uid="{00000000-0005-0000-0000-0000AB080000}"/>
    <cellStyle name="Comma 4 2 3 6 2 2 2" xfId="17319" xr:uid="{A330BBE5-E9E8-4ADF-B551-F4561F92E236}"/>
    <cellStyle name="Comma 4 2 3 6 2 3" xfId="13102" xr:uid="{3901D5EB-B232-4D21-AD08-18FCFE7BDE5C}"/>
    <cellStyle name="Comma 4 2 3 6 3" xfId="5848" xr:uid="{00000000-0005-0000-0000-0000AC080000}"/>
    <cellStyle name="Comma 4 2 3 6 3 2" xfId="15174" xr:uid="{780E3306-1CE7-4EA6-B75B-9254508D5C1A}"/>
    <cellStyle name="Comma 4 2 3 6 4" xfId="10957" xr:uid="{504ADD80-ABBE-4784-B50C-295A83F7E3F2}"/>
    <cellStyle name="Comma 4 2 3 7" xfId="1955" xr:uid="{00000000-0005-0000-0000-0000AD080000}"/>
    <cellStyle name="Comma 4 2 3 7 2" xfId="4184" xr:uid="{00000000-0005-0000-0000-0000AE080000}"/>
    <cellStyle name="Comma 4 2 3 7 2 2" xfId="8406" xr:uid="{00000000-0005-0000-0000-0000AF080000}"/>
    <cellStyle name="Comma 4 2 3 7 2 2 2" xfId="17732" xr:uid="{BC398FC9-6180-40EF-A963-420DB22E85F2}"/>
    <cellStyle name="Comma 4 2 3 7 2 3" xfId="13515" xr:uid="{9E42DC83-9DB8-4FA9-B3E9-D74DD5FDFDCD}"/>
    <cellStyle name="Comma 4 2 3 7 3" xfId="6261" xr:uid="{00000000-0005-0000-0000-0000B0080000}"/>
    <cellStyle name="Comma 4 2 3 7 3 2" xfId="15587" xr:uid="{A41F250E-5A50-47D3-A938-E0DD07B4660C}"/>
    <cellStyle name="Comma 4 2 3 7 4" xfId="11370" xr:uid="{DDE9C0DB-B905-4506-BE35-8F6EC555B73A}"/>
    <cellStyle name="Comma 4 2 3 8" xfId="2390" xr:uid="{00000000-0005-0000-0000-0000B1080000}"/>
    <cellStyle name="Comma 4 2 3 8 2" xfId="6674" xr:uid="{00000000-0005-0000-0000-0000B2080000}"/>
    <cellStyle name="Comma 4 2 3 8 2 2" xfId="16000" xr:uid="{92239796-F949-464D-8F13-1AC41DD6062C}"/>
    <cellStyle name="Comma 4 2 3 8 3" xfId="11783" xr:uid="{035FA8F5-F191-41F0-90EF-891E40972479}"/>
    <cellStyle name="Comma 4 2 3 9" xfId="2373" xr:uid="{00000000-0005-0000-0000-0000B3080000}"/>
    <cellStyle name="Comma 4 2 4" xfId="140" xr:uid="{00000000-0005-0000-0000-0000B4080000}"/>
    <cellStyle name="Comma 4 2 4 10" xfId="4612" xr:uid="{00000000-0005-0000-0000-0000B5080000}"/>
    <cellStyle name="Comma 4 2 4 10 2" xfId="13938" xr:uid="{BD466FB1-0BE3-4725-BE3A-9334926A3BA3}"/>
    <cellStyle name="Comma 4 2 4 11" xfId="8858" xr:uid="{B6A00C95-D04C-44B2-B8AF-67540882256C}"/>
    <cellStyle name="Comma 4 2 4 11 2" xfId="18182" xr:uid="{1867DC24-0395-408D-8598-293C1AAB1AE9}"/>
    <cellStyle name="Comma 4 2 4 12" xfId="9721" xr:uid="{B4905269-3B94-4437-B6D1-0CAA6F6E19F5}"/>
    <cellStyle name="Comma 4 2 4 2" xfId="141" xr:uid="{00000000-0005-0000-0000-0000B6080000}"/>
    <cellStyle name="Comma 4 2 4 2 10" xfId="9065" xr:uid="{961AA06A-D943-447E-AADB-49B440E7E7CE}"/>
    <cellStyle name="Comma 4 2 4 2 10 2" xfId="18389" xr:uid="{4E2BA2F6-453A-43DF-B26E-EC4D9896AE02}"/>
    <cellStyle name="Comma 4 2 4 2 11" xfId="9722" xr:uid="{998B40D2-57D3-47D6-9022-3003C35F4CAE}"/>
    <cellStyle name="Comma 4 2 4 2 2" xfId="679" xr:uid="{00000000-0005-0000-0000-0000B7080000}"/>
    <cellStyle name="Comma 4 2 4 2 2 2" xfId="2950" xr:uid="{00000000-0005-0000-0000-0000B8080000}"/>
    <cellStyle name="Comma 4 2 4 2 2 2 2" xfId="7172" xr:uid="{00000000-0005-0000-0000-0000B9080000}"/>
    <cellStyle name="Comma 4 2 4 2 2 2 2 2" xfId="16498" xr:uid="{2E80F0C6-422A-41CF-86D1-4CB6226B247A}"/>
    <cellStyle name="Comma 4 2 4 2 2 2 3" xfId="12281" xr:uid="{3E28D117-B6D1-4022-A20B-5AF42B458E3A}"/>
    <cellStyle name="Comma 4 2 4 2 2 3" xfId="5027" xr:uid="{00000000-0005-0000-0000-0000BA080000}"/>
    <cellStyle name="Comma 4 2 4 2 2 3 2" xfId="14353" xr:uid="{D1360C50-84EE-455F-A075-441399BAF53F}"/>
    <cellStyle name="Comma 4 2 4 2 2 4" xfId="9490" xr:uid="{2FAEB1E6-7B41-437B-B2A9-4352AB4F4B98}"/>
    <cellStyle name="Comma 4 2 4 2 2 4 2" xfId="18805" xr:uid="{694AF1F8-EA7F-4DB4-B3DC-CA6213200924}"/>
    <cellStyle name="Comma 4 2 4 2 2 5" xfId="10136" xr:uid="{821880A9-57BD-42EB-8BB8-762AA23CE36A}"/>
    <cellStyle name="Comma 4 2 4 2 3" xfId="1132" xr:uid="{00000000-0005-0000-0000-0000BB080000}"/>
    <cellStyle name="Comma 4 2 4 2 3 2" xfId="3363" xr:uid="{00000000-0005-0000-0000-0000BC080000}"/>
    <cellStyle name="Comma 4 2 4 2 3 2 2" xfId="7585" xr:uid="{00000000-0005-0000-0000-0000BD080000}"/>
    <cellStyle name="Comma 4 2 4 2 3 2 2 2" xfId="16911" xr:uid="{21D35D6D-69F0-4F8A-B153-987F9991F7BF}"/>
    <cellStyle name="Comma 4 2 4 2 3 2 3" xfId="12694" xr:uid="{08B4C518-4DBB-4AB9-A556-02E9839115BF}"/>
    <cellStyle name="Comma 4 2 4 2 3 3" xfId="5440" xr:uid="{00000000-0005-0000-0000-0000BE080000}"/>
    <cellStyle name="Comma 4 2 4 2 3 3 2" xfId="14766" xr:uid="{22B3B006-0582-4CDF-9C8E-66CFD19549E3}"/>
    <cellStyle name="Comma 4 2 4 2 3 4" xfId="10549" xr:uid="{AEC4FAEC-BA65-4C98-AF4F-44ED10E6114F}"/>
    <cellStyle name="Comma 4 2 4 2 4" xfId="1546" xr:uid="{00000000-0005-0000-0000-0000BF080000}"/>
    <cellStyle name="Comma 4 2 4 2 4 2" xfId="3776" xr:uid="{00000000-0005-0000-0000-0000C0080000}"/>
    <cellStyle name="Comma 4 2 4 2 4 2 2" xfId="7998" xr:uid="{00000000-0005-0000-0000-0000C1080000}"/>
    <cellStyle name="Comma 4 2 4 2 4 2 2 2" xfId="17324" xr:uid="{382AA6B6-2C0B-4A6D-B45D-1ED8D2BA3E43}"/>
    <cellStyle name="Comma 4 2 4 2 4 2 3" xfId="13107" xr:uid="{F00D790C-1447-48EA-9DA8-1F7A12D21ED5}"/>
    <cellStyle name="Comma 4 2 4 2 4 3" xfId="5853" xr:uid="{00000000-0005-0000-0000-0000C2080000}"/>
    <cellStyle name="Comma 4 2 4 2 4 3 2" xfId="15179" xr:uid="{B1111EB2-2284-4D51-AD75-649584FEDEB7}"/>
    <cellStyle name="Comma 4 2 4 2 4 4" xfId="10962" xr:uid="{887675A1-1778-44D0-8110-F377885F7E8F}"/>
    <cellStyle name="Comma 4 2 4 2 5" xfId="1960" xr:uid="{00000000-0005-0000-0000-0000C3080000}"/>
    <cellStyle name="Comma 4 2 4 2 5 2" xfId="4189" xr:uid="{00000000-0005-0000-0000-0000C4080000}"/>
    <cellStyle name="Comma 4 2 4 2 5 2 2" xfId="8411" xr:uid="{00000000-0005-0000-0000-0000C5080000}"/>
    <cellStyle name="Comma 4 2 4 2 5 2 2 2" xfId="17737" xr:uid="{EC73D098-61E9-46DC-9148-86A658590972}"/>
    <cellStyle name="Comma 4 2 4 2 5 2 3" xfId="13520" xr:uid="{61025BE6-E6BD-4CBB-AE3E-0427F98836D9}"/>
    <cellStyle name="Comma 4 2 4 2 5 3" xfId="6266" xr:uid="{00000000-0005-0000-0000-0000C6080000}"/>
    <cellStyle name="Comma 4 2 4 2 5 3 2" xfId="15592" xr:uid="{33C34A7B-A99F-4255-A40E-D7E7D55028BE}"/>
    <cellStyle name="Comma 4 2 4 2 5 4" xfId="11375" xr:uid="{5CEC804E-8F46-4B56-9F07-71C2D8F9FDF2}"/>
    <cellStyle name="Comma 4 2 4 2 6" xfId="2395" xr:uid="{00000000-0005-0000-0000-0000C7080000}"/>
    <cellStyle name="Comma 4 2 4 2 6 2" xfId="6679" xr:uid="{00000000-0005-0000-0000-0000C8080000}"/>
    <cellStyle name="Comma 4 2 4 2 6 2 2" xfId="16005" xr:uid="{66D63207-94F4-4E69-B36F-FF004F668DA7}"/>
    <cellStyle name="Comma 4 2 4 2 6 3" xfId="11788" xr:uid="{6126877A-8C8A-4D26-A509-B17D41B539DD}"/>
    <cellStyle name="Comma 4 2 4 2 7" xfId="2368" xr:uid="{00000000-0005-0000-0000-0000C9080000}"/>
    <cellStyle name="Comma 4 2 4 2 8" xfId="2773" xr:uid="{00000000-0005-0000-0000-0000CA080000}"/>
    <cellStyle name="Comma 4 2 4 2 8 2" xfId="6996" xr:uid="{00000000-0005-0000-0000-0000CB080000}"/>
    <cellStyle name="Comma 4 2 4 2 8 2 2" xfId="16322" xr:uid="{58472C69-9AC5-4A01-BF0A-2D8D72FD9F22}"/>
    <cellStyle name="Comma 4 2 4 2 8 3" xfId="12105" xr:uid="{44C015FD-3F1A-446E-B9FF-EF174F564BA0}"/>
    <cellStyle name="Comma 4 2 4 2 9" xfId="4613" xr:uid="{00000000-0005-0000-0000-0000CC080000}"/>
    <cellStyle name="Comma 4 2 4 2 9 2" xfId="13939" xr:uid="{B0B838B5-6F33-41B3-B402-B72988F8EAFE}"/>
    <cellStyle name="Comma 4 2 4 3" xfId="678" xr:uid="{00000000-0005-0000-0000-0000CD080000}"/>
    <cellStyle name="Comma 4 2 4 3 2" xfId="2949" xr:uid="{00000000-0005-0000-0000-0000CE080000}"/>
    <cellStyle name="Comma 4 2 4 3 2 2" xfId="7171" xr:uid="{00000000-0005-0000-0000-0000CF080000}"/>
    <cellStyle name="Comma 4 2 4 3 2 2 2" xfId="16497" xr:uid="{64324649-6AB3-4007-B1E4-68C8D8BE05EF}"/>
    <cellStyle name="Comma 4 2 4 3 2 3" xfId="12280" xr:uid="{C11613B0-EE63-4521-96D8-AC670B7112A6}"/>
    <cellStyle name="Comma 4 2 4 3 3" xfId="5026" xr:uid="{00000000-0005-0000-0000-0000D0080000}"/>
    <cellStyle name="Comma 4 2 4 3 3 2" xfId="14352" xr:uid="{54C16A64-9539-4635-856D-CFEB16C31D40}"/>
    <cellStyle name="Comma 4 2 4 3 4" xfId="9283" xr:uid="{7E46ED3C-A8F4-4512-93D9-5F41F1AC397C}"/>
    <cellStyle name="Comma 4 2 4 3 4 2" xfId="18598" xr:uid="{E494DE7F-B99D-4AE2-ABFE-8207F0D8150D}"/>
    <cellStyle name="Comma 4 2 4 3 5" xfId="10135" xr:uid="{096A0149-62D6-401D-A047-F14F4ABDEB0D}"/>
    <cellStyle name="Comma 4 2 4 4" xfId="1131" xr:uid="{00000000-0005-0000-0000-0000D1080000}"/>
    <cellStyle name="Comma 4 2 4 4 2" xfId="3362" xr:uid="{00000000-0005-0000-0000-0000D2080000}"/>
    <cellStyle name="Comma 4 2 4 4 2 2" xfId="7584" xr:uid="{00000000-0005-0000-0000-0000D3080000}"/>
    <cellStyle name="Comma 4 2 4 4 2 2 2" xfId="16910" xr:uid="{7CEB0934-556A-42C5-A545-21B3DB328A45}"/>
    <cellStyle name="Comma 4 2 4 4 2 3" xfId="12693" xr:uid="{54C69C47-F2A8-4BD3-939B-38ED0EC370A4}"/>
    <cellStyle name="Comma 4 2 4 4 3" xfId="5439" xr:uid="{00000000-0005-0000-0000-0000D4080000}"/>
    <cellStyle name="Comma 4 2 4 4 3 2" xfId="14765" xr:uid="{506F954A-CE1A-4382-8C2C-ADC64680BF5D}"/>
    <cellStyle name="Comma 4 2 4 4 4" xfId="10548" xr:uid="{4FF3EC7C-187E-4C47-B54B-BF8ACD0F64FA}"/>
    <cellStyle name="Comma 4 2 4 5" xfId="1545" xr:uid="{00000000-0005-0000-0000-0000D5080000}"/>
    <cellStyle name="Comma 4 2 4 5 2" xfId="3775" xr:uid="{00000000-0005-0000-0000-0000D6080000}"/>
    <cellStyle name="Comma 4 2 4 5 2 2" xfId="7997" xr:uid="{00000000-0005-0000-0000-0000D7080000}"/>
    <cellStyle name="Comma 4 2 4 5 2 2 2" xfId="17323" xr:uid="{B078CA3A-8518-47DE-9601-DD547476E088}"/>
    <cellStyle name="Comma 4 2 4 5 2 3" xfId="13106" xr:uid="{0D6B2C46-D0AB-4368-9C6D-FB345A51FC8F}"/>
    <cellStyle name="Comma 4 2 4 5 3" xfId="5852" xr:uid="{00000000-0005-0000-0000-0000D8080000}"/>
    <cellStyle name="Comma 4 2 4 5 3 2" xfId="15178" xr:uid="{C6284933-1060-42FF-A943-A4CFB62528E7}"/>
    <cellStyle name="Comma 4 2 4 5 4" xfId="10961" xr:uid="{9D3DFE97-805B-4200-960B-7FD99A6A8C92}"/>
    <cellStyle name="Comma 4 2 4 6" xfId="1959" xr:uid="{00000000-0005-0000-0000-0000D9080000}"/>
    <cellStyle name="Comma 4 2 4 6 2" xfId="4188" xr:uid="{00000000-0005-0000-0000-0000DA080000}"/>
    <cellStyle name="Comma 4 2 4 6 2 2" xfId="8410" xr:uid="{00000000-0005-0000-0000-0000DB080000}"/>
    <cellStyle name="Comma 4 2 4 6 2 2 2" xfId="17736" xr:uid="{A8D33750-5DE3-42B4-99C3-6B33499CA9C8}"/>
    <cellStyle name="Comma 4 2 4 6 2 3" xfId="13519" xr:uid="{7C5165B7-2E35-4065-8C8E-30FE77014F80}"/>
    <cellStyle name="Comma 4 2 4 6 3" xfId="6265" xr:uid="{00000000-0005-0000-0000-0000DC080000}"/>
    <cellStyle name="Comma 4 2 4 6 3 2" xfId="15591" xr:uid="{C3B5BC25-9DAB-49AB-A269-26D2410BA5B3}"/>
    <cellStyle name="Comma 4 2 4 6 4" xfId="11374" xr:uid="{4856F08F-9D7A-41AF-A593-012BAD4CA8FB}"/>
    <cellStyle name="Comma 4 2 4 7" xfId="2394" xr:uid="{00000000-0005-0000-0000-0000DD080000}"/>
    <cellStyle name="Comma 4 2 4 7 2" xfId="6678" xr:uid="{00000000-0005-0000-0000-0000DE080000}"/>
    <cellStyle name="Comma 4 2 4 7 2 2" xfId="16004" xr:uid="{A8601ACF-FDFD-44AF-AC22-6A7AD15BF935}"/>
    <cellStyle name="Comma 4 2 4 7 3" xfId="11787" xr:uid="{0F5D3713-1173-4C58-8D08-C7079DD667BD}"/>
    <cellStyle name="Comma 4 2 4 8" xfId="2369" xr:uid="{00000000-0005-0000-0000-0000DF080000}"/>
    <cellStyle name="Comma 4 2 4 9" xfId="2772" xr:uid="{00000000-0005-0000-0000-0000E0080000}"/>
    <cellStyle name="Comma 4 2 4 9 2" xfId="6995" xr:uid="{00000000-0005-0000-0000-0000E1080000}"/>
    <cellStyle name="Comma 4 2 4 9 2 2" xfId="16321" xr:uid="{CBCBD51A-91AA-4048-8686-5BFC8394EB88}"/>
    <cellStyle name="Comma 4 2 4 9 3" xfId="12104" xr:uid="{8560B3ED-7A74-47BA-B366-522BDC1D34FD}"/>
    <cellStyle name="Comma 4 2 5" xfId="142" xr:uid="{00000000-0005-0000-0000-0000E2080000}"/>
    <cellStyle name="Comma 4 2 5 10" xfId="8974" xr:uid="{86B0C89A-8A2D-4755-B15D-84E412E1D380}"/>
    <cellStyle name="Comma 4 2 5 10 2" xfId="18298" xr:uid="{41BC80AE-1A95-40B8-9A71-29742196912A}"/>
    <cellStyle name="Comma 4 2 5 11" xfId="9723" xr:uid="{5EA388E9-E76B-4BEE-A402-E0F837F26BB1}"/>
    <cellStyle name="Comma 4 2 5 2" xfId="680" xr:uid="{00000000-0005-0000-0000-0000E3080000}"/>
    <cellStyle name="Comma 4 2 5 2 2" xfId="2951" xr:uid="{00000000-0005-0000-0000-0000E4080000}"/>
    <cellStyle name="Comma 4 2 5 2 2 2" xfId="7173" xr:uid="{00000000-0005-0000-0000-0000E5080000}"/>
    <cellStyle name="Comma 4 2 5 2 2 2 2" xfId="16499" xr:uid="{C6406D43-51DE-42CE-B19C-1546324A0A16}"/>
    <cellStyle name="Comma 4 2 5 2 2 3" xfId="12282" xr:uid="{D0003923-439D-437C-86D2-1466E63267A4}"/>
    <cellStyle name="Comma 4 2 5 2 3" xfId="5028" xr:uid="{00000000-0005-0000-0000-0000E6080000}"/>
    <cellStyle name="Comma 4 2 5 2 3 2" xfId="14354" xr:uid="{BB495381-FDDF-4D58-838A-2B7CDE77BB58}"/>
    <cellStyle name="Comma 4 2 5 2 4" xfId="9399" xr:uid="{1B388BC7-1FC6-4DC3-B345-755F61B57864}"/>
    <cellStyle name="Comma 4 2 5 2 4 2" xfId="18714" xr:uid="{45C28C8A-BFAC-4977-858B-46DCE53E29FC}"/>
    <cellStyle name="Comma 4 2 5 2 5" xfId="10137" xr:uid="{BF88CFD8-6B9D-482F-B2CC-AD52115B0BC9}"/>
    <cellStyle name="Comma 4 2 5 3" xfId="1133" xr:uid="{00000000-0005-0000-0000-0000E7080000}"/>
    <cellStyle name="Comma 4 2 5 3 2" xfId="3364" xr:uid="{00000000-0005-0000-0000-0000E8080000}"/>
    <cellStyle name="Comma 4 2 5 3 2 2" xfId="7586" xr:uid="{00000000-0005-0000-0000-0000E9080000}"/>
    <cellStyle name="Comma 4 2 5 3 2 2 2" xfId="16912" xr:uid="{4FBE239A-3247-4E65-925F-025D9D2BB083}"/>
    <cellStyle name="Comma 4 2 5 3 2 3" xfId="12695" xr:uid="{8AC2F011-A5AF-4201-A5DE-8337A7E7D37C}"/>
    <cellStyle name="Comma 4 2 5 3 3" xfId="5441" xr:uid="{00000000-0005-0000-0000-0000EA080000}"/>
    <cellStyle name="Comma 4 2 5 3 3 2" xfId="14767" xr:uid="{E0881856-756B-4A68-897A-5DE22D4883D2}"/>
    <cellStyle name="Comma 4 2 5 3 4" xfId="10550" xr:uid="{BE638129-6C5C-4959-91B7-F55A26E63B8A}"/>
    <cellStyle name="Comma 4 2 5 4" xfId="1547" xr:uid="{00000000-0005-0000-0000-0000EB080000}"/>
    <cellStyle name="Comma 4 2 5 4 2" xfId="3777" xr:uid="{00000000-0005-0000-0000-0000EC080000}"/>
    <cellStyle name="Comma 4 2 5 4 2 2" xfId="7999" xr:uid="{00000000-0005-0000-0000-0000ED080000}"/>
    <cellStyle name="Comma 4 2 5 4 2 2 2" xfId="17325" xr:uid="{EB0DA9ED-9F9C-4269-A252-24474B8838C3}"/>
    <cellStyle name="Comma 4 2 5 4 2 3" xfId="13108" xr:uid="{0F7DD501-A8E5-42D5-9343-34A575B53841}"/>
    <cellStyle name="Comma 4 2 5 4 3" xfId="5854" xr:uid="{00000000-0005-0000-0000-0000EE080000}"/>
    <cellStyle name="Comma 4 2 5 4 3 2" xfId="15180" xr:uid="{7A53D188-C8E4-4A32-8CDD-1687C73E7EDA}"/>
    <cellStyle name="Comma 4 2 5 4 4" xfId="10963" xr:uid="{2E863A20-7431-4D50-885D-BCC89EA8C4B4}"/>
    <cellStyle name="Comma 4 2 5 5" xfId="1961" xr:uid="{00000000-0005-0000-0000-0000EF080000}"/>
    <cellStyle name="Comma 4 2 5 5 2" xfId="4190" xr:uid="{00000000-0005-0000-0000-0000F0080000}"/>
    <cellStyle name="Comma 4 2 5 5 2 2" xfId="8412" xr:uid="{00000000-0005-0000-0000-0000F1080000}"/>
    <cellStyle name="Comma 4 2 5 5 2 2 2" xfId="17738" xr:uid="{F3E8E130-9E9D-4988-96D8-05F37EC1AFB5}"/>
    <cellStyle name="Comma 4 2 5 5 2 3" xfId="13521" xr:uid="{5A94A2D8-0BFE-49A9-9909-38E8F63B2251}"/>
    <cellStyle name="Comma 4 2 5 5 3" xfId="6267" xr:uid="{00000000-0005-0000-0000-0000F2080000}"/>
    <cellStyle name="Comma 4 2 5 5 3 2" xfId="15593" xr:uid="{7081E851-9A71-4411-8AA1-D10E038965B8}"/>
    <cellStyle name="Comma 4 2 5 5 4" xfId="11376" xr:uid="{EFD8F92D-83BA-4FFD-A15A-FB9F97549489}"/>
    <cellStyle name="Comma 4 2 5 6" xfId="2396" xr:uid="{00000000-0005-0000-0000-0000F3080000}"/>
    <cellStyle name="Comma 4 2 5 6 2" xfId="6680" xr:uid="{00000000-0005-0000-0000-0000F4080000}"/>
    <cellStyle name="Comma 4 2 5 6 2 2" xfId="16006" xr:uid="{5F00B15C-50F6-492C-B282-49BDF7546B7B}"/>
    <cellStyle name="Comma 4 2 5 6 3" xfId="11789" xr:uid="{6258BDBA-16FF-4EE2-88D1-ADE859F7DD4B}"/>
    <cellStyle name="Comma 4 2 5 7" xfId="2367" xr:uid="{00000000-0005-0000-0000-0000F5080000}"/>
    <cellStyle name="Comma 4 2 5 8" xfId="2774" xr:uid="{00000000-0005-0000-0000-0000F6080000}"/>
    <cellStyle name="Comma 4 2 5 8 2" xfId="6997" xr:uid="{00000000-0005-0000-0000-0000F7080000}"/>
    <cellStyle name="Comma 4 2 5 8 2 2" xfId="16323" xr:uid="{CCC3EEDE-B041-4CB2-A1C1-D291013CE4BB}"/>
    <cellStyle name="Comma 4 2 5 8 3" xfId="12106" xr:uid="{E6F63979-84AD-4176-B97C-A453F802664A}"/>
    <cellStyle name="Comma 4 2 5 9" xfId="4614" xr:uid="{00000000-0005-0000-0000-0000F8080000}"/>
    <cellStyle name="Comma 4 2 5 9 2" xfId="13940" xr:uid="{98E7C5F1-E9CE-4372-A505-F4D54A65C8DD}"/>
    <cellStyle name="Comma 4 2 6" xfId="143" xr:uid="{00000000-0005-0000-0000-0000F9080000}"/>
    <cellStyle name="Comma 4 2 6 10" xfId="9177" xr:uid="{A20A3B72-7630-464F-8E57-DA2B9D6E44FB}"/>
    <cellStyle name="Comma 4 2 6 10 2" xfId="18495" xr:uid="{01D21386-5395-4EEA-8AA1-52FD71C89E15}"/>
    <cellStyle name="Comma 4 2 6 11" xfId="9724" xr:uid="{C0DA9034-38CF-423F-8627-317269A81682}"/>
    <cellStyle name="Comma 4 2 6 2" xfId="681" xr:uid="{00000000-0005-0000-0000-0000FA080000}"/>
    <cellStyle name="Comma 4 2 6 2 2" xfId="2952" xr:uid="{00000000-0005-0000-0000-0000FB080000}"/>
    <cellStyle name="Comma 4 2 6 2 2 2" xfId="7174" xr:uid="{00000000-0005-0000-0000-0000FC080000}"/>
    <cellStyle name="Comma 4 2 6 2 2 2 2" xfId="16500" xr:uid="{9B0C0D92-9910-4F0F-9D34-35CB401EFC39}"/>
    <cellStyle name="Comma 4 2 6 2 2 3" xfId="12283" xr:uid="{BDCC68EB-01DE-4B48-9DD5-A5A20FEE7B40}"/>
    <cellStyle name="Comma 4 2 6 2 3" xfId="5029" xr:uid="{00000000-0005-0000-0000-0000FD080000}"/>
    <cellStyle name="Comma 4 2 6 2 3 2" xfId="14355" xr:uid="{6A58552F-3179-42D0-992D-50B92E2FFD25}"/>
    <cellStyle name="Comma 4 2 6 2 4" xfId="9594" xr:uid="{CCB8D3FE-19FC-4F7F-9966-44FD23A1A32A}"/>
    <cellStyle name="Comma 4 2 6 2 4 2" xfId="18898" xr:uid="{F9C4A153-227D-4C12-BEF9-82A2D157E7C1}"/>
    <cellStyle name="Comma 4 2 6 2 5" xfId="10138" xr:uid="{DAD0F048-166E-474A-AF89-06F10E931BDF}"/>
    <cellStyle name="Comma 4 2 6 3" xfId="1134" xr:uid="{00000000-0005-0000-0000-0000FE080000}"/>
    <cellStyle name="Comma 4 2 6 3 2" xfId="3365" xr:uid="{00000000-0005-0000-0000-0000FF080000}"/>
    <cellStyle name="Comma 4 2 6 3 2 2" xfId="7587" xr:uid="{00000000-0005-0000-0000-000000090000}"/>
    <cellStyle name="Comma 4 2 6 3 2 2 2" xfId="16913" xr:uid="{06915107-329E-4914-9B39-9AD20400DDB5}"/>
    <cellStyle name="Comma 4 2 6 3 2 3" xfId="12696" xr:uid="{489D0CB4-7645-424E-B90F-BFB8AA831BA1}"/>
    <cellStyle name="Comma 4 2 6 3 3" xfId="5442" xr:uid="{00000000-0005-0000-0000-000001090000}"/>
    <cellStyle name="Comma 4 2 6 3 3 2" xfId="14768" xr:uid="{D8401B4E-2E70-4943-ACE9-6559A18B245F}"/>
    <cellStyle name="Comma 4 2 6 3 4" xfId="10551" xr:uid="{71FE278D-C7A0-46C7-A9BC-C28138FF21A2}"/>
    <cellStyle name="Comma 4 2 6 4" xfId="1548" xr:uid="{00000000-0005-0000-0000-000002090000}"/>
    <cellStyle name="Comma 4 2 6 4 2" xfId="3778" xr:uid="{00000000-0005-0000-0000-000003090000}"/>
    <cellStyle name="Comma 4 2 6 4 2 2" xfId="8000" xr:uid="{00000000-0005-0000-0000-000004090000}"/>
    <cellStyle name="Comma 4 2 6 4 2 2 2" xfId="17326" xr:uid="{B0B12E99-E30F-426F-BDFC-6AEC01A26177}"/>
    <cellStyle name="Comma 4 2 6 4 2 3" xfId="13109" xr:uid="{09549BB0-0FF4-4FCD-A9A4-AB786F3A2F5C}"/>
    <cellStyle name="Comma 4 2 6 4 3" xfId="5855" xr:uid="{00000000-0005-0000-0000-000005090000}"/>
    <cellStyle name="Comma 4 2 6 4 3 2" xfId="15181" xr:uid="{48D4B3FE-F882-4700-B9B5-F13C73966D91}"/>
    <cellStyle name="Comma 4 2 6 4 4" xfId="10964" xr:uid="{4551C0D4-B1D7-40A1-9544-4E83EE6650D4}"/>
    <cellStyle name="Comma 4 2 6 5" xfId="1962" xr:uid="{00000000-0005-0000-0000-000006090000}"/>
    <cellStyle name="Comma 4 2 6 5 2" xfId="4191" xr:uid="{00000000-0005-0000-0000-000007090000}"/>
    <cellStyle name="Comma 4 2 6 5 2 2" xfId="8413" xr:uid="{00000000-0005-0000-0000-000008090000}"/>
    <cellStyle name="Comma 4 2 6 5 2 2 2" xfId="17739" xr:uid="{AD9D14E6-911E-42FC-AAF1-F1548436B140}"/>
    <cellStyle name="Comma 4 2 6 5 2 3" xfId="13522" xr:uid="{6CAC1487-E305-4057-8149-89D91A5508AF}"/>
    <cellStyle name="Comma 4 2 6 5 3" xfId="6268" xr:uid="{00000000-0005-0000-0000-000009090000}"/>
    <cellStyle name="Comma 4 2 6 5 3 2" xfId="15594" xr:uid="{98D10851-BEBB-447A-9D21-A4E26A4C1BFD}"/>
    <cellStyle name="Comma 4 2 6 5 4" xfId="11377" xr:uid="{DF91FEC5-46F9-483D-8A36-2284688650F8}"/>
    <cellStyle name="Comma 4 2 6 6" xfId="2397" xr:uid="{00000000-0005-0000-0000-00000A090000}"/>
    <cellStyle name="Comma 4 2 6 6 2" xfId="6681" xr:uid="{00000000-0005-0000-0000-00000B090000}"/>
    <cellStyle name="Comma 4 2 6 6 2 2" xfId="16007" xr:uid="{3592811B-FC9D-4F24-8069-EA2AF49B8D11}"/>
    <cellStyle name="Comma 4 2 6 6 3" xfId="11790" xr:uid="{B899EDE1-F9A1-4583-9A6B-505214A622A9}"/>
    <cellStyle name="Comma 4 2 6 7" xfId="2366" xr:uid="{00000000-0005-0000-0000-00000C090000}"/>
    <cellStyle name="Comma 4 2 6 8" xfId="2775" xr:uid="{00000000-0005-0000-0000-00000D090000}"/>
    <cellStyle name="Comma 4 2 6 8 2" xfId="6998" xr:uid="{00000000-0005-0000-0000-00000E090000}"/>
    <cellStyle name="Comma 4 2 6 8 2 2" xfId="16324" xr:uid="{A9A06E43-AFF7-42F6-8D09-30D83894A916}"/>
    <cellStyle name="Comma 4 2 6 8 3" xfId="12107" xr:uid="{BA553AA6-08CA-4ADA-8B0E-416F5FE95896}"/>
    <cellStyle name="Comma 4 2 6 9" xfId="4615" xr:uid="{00000000-0005-0000-0000-00000F090000}"/>
    <cellStyle name="Comma 4 2 6 9 2" xfId="13941" xr:uid="{AD595D15-262A-4CD1-A7C1-F4966AD76CD0}"/>
    <cellStyle name="Comma 4 2 7" xfId="9190" xr:uid="{C8B7F6BD-E2DD-41C7-A6AF-A5C7B900A7ED}"/>
    <cellStyle name="Comma 4 2 8" xfId="8755" xr:uid="{40286204-C766-4116-8542-387551AD6364}"/>
    <cellStyle name="Comma 4 2 8 2" xfId="18079" xr:uid="{AA1D917A-A9EF-41C3-9B57-A6E32E852B2C}"/>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0 2 2" xfId="16325" xr:uid="{58A33F13-8C96-4897-8192-6AFD1D363083}"/>
    <cellStyle name="Comma 4 3 2 10 3" xfId="12108" xr:uid="{76D23CDC-F25F-43E4-8A12-99705698408E}"/>
    <cellStyle name="Comma 4 3 2 11" xfId="4616" xr:uid="{00000000-0005-0000-0000-000014090000}"/>
    <cellStyle name="Comma 4 3 2 11 2" xfId="13942" xr:uid="{36C58A58-7CC1-4136-8E0D-49CD798C5571}"/>
    <cellStyle name="Comma 4 3 2 12" xfId="8807" xr:uid="{5C5EF314-D0DB-425B-AE7D-D52FEEE90EC1}"/>
    <cellStyle name="Comma 4 3 2 12 2" xfId="18131" xr:uid="{A53A528A-4A75-4ABF-8DC0-71D71CDE0887}"/>
    <cellStyle name="Comma 4 3 2 13" xfId="9725" xr:uid="{9F8CE082-353E-43AD-8C16-9C52BA49B668}"/>
    <cellStyle name="Comma 4 3 2 2" xfId="146" xr:uid="{00000000-0005-0000-0000-000015090000}"/>
    <cellStyle name="Comma 4 3 2 2 10" xfId="4617" xr:uid="{00000000-0005-0000-0000-000016090000}"/>
    <cellStyle name="Comma 4 3 2 2 10 2" xfId="13943" xr:uid="{C3CD9C66-CF4B-4C53-A612-68EBE730A769}"/>
    <cellStyle name="Comma 4 3 2 2 11" xfId="8910" xr:uid="{15019DD0-71A0-438D-B796-68DE42B22692}"/>
    <cellStyle name="Comma 4 3 2 2 11 2" xfId="18234" xr:uid="{AC038364-1BEF-456C-B621-1AE60860BE0C}"/>
    <cellStyle name="Comma 4 3 2 2 12" xfId="9726" xr:uid="{C92FDA0D-E5A8-40D1-A1B0-8CC9CF2255BA}"/>
    <cellStyle name="Comma 4 3 2 2 2" xfId="147" xr:uid="{00000000-0005-0000-0000-000017090000}"/>
    <cellStyle name="Comma 4 3 2 2 2 10" xfId="9117" xr:uid="{1409F531-DBF2-41E0-9C74-F9317358BA15}"/>
    <cellStyle name="Comma 4 3 2 2 2 10 2" xfId="18441" xr:uid="{B65E166C-808D-40B8-830A-A2FCDA7D2F93}"/>
    <cellStyle name="Comma 4 3 2 2 2 11" xfId="9727" xr:uid="{F8A574B5-F9E4-46DC-BC2B-C634938149B9}"/>
    <cellStyle name="Comma 4 3 2 2 2 2" xfId="684" xr:uid="{00000000-0005-0000-0000-000018090000}"/>
    <cellStyle name="Comma 4 3 2 2 2 2 2" xfId="2955" xr:uid="{00000000-0005-0000-0000-000019090000}"/>
    <cellStyle name="Comma 4 3 2 2 2 2 2 2" xfId="7177" xr:uid="{00000000-0005-0000-0000-00001A090000}"/>
    <cellStyle name="Comma 4 3 2 2 2 2 2 2 2" xfId="16503" xr:uid="{3AB73A9D-E210-4AFF-A8A1-BF7C04A146B6}"/>
    <cellStyle name="Comma 4 3 2 2 2 2 2 3" xfId="12286" xr:uid="{AA20EA8F-3AD5-4254-ACFF-C23D47F5F0C3}"/>
    <cellStyle name="Comma 4 3 2 2 2 2 3" xfId="5032" xr:uid="{00000000-0005-0000-0000-00001B090000}"/>
    <cellStyle name="Comma 4 3 2 2 2 2 3 2" xfId="14358" xr:uid="{948794D3-DC8F-4173-A723-51B1BFF3E5AC}"/>
    <cellStyle name="Comma 4 3 2 2 2 2 4" xfId="9542" xr:uid="{26CD77CC-F017-4839-8245-BBF245D45E53}"/>
    <cellStyle name="Comma 4 3 2 2 2 2 4 2" xfId="18857" xr:uid="{8405771E-7EF2-44EE-A62F-BC7ADB343BEF}"/>
    <cellStyle name="Comma 4 3 2 2 2 2 5" xfId="10141" xr:uid="{82834B73-37B4-4C0C-8F48-E0F484BAC154}"/>
    <cellStyle name="Comma 4 3 2 2 2 3" xfId="1137" xr:uid="{00000000-0005-0000-0000-00001C090000}"/>
    <cellStyle name="Comma 4 3 2 2 2 3 2" xfId="3368" xr:uid="{00000000-0005-0000-0000-00001D090000}"/>
    <cellStyle name="Comma 4 3 2 2 2 3 2 2" xfId="7590" xr:uid="{00000000-0005-0000-0000-00001E090000}"/>
    <cellStyle name="Comma 4 3 2 2 2 3 2 2 2" xfId="16916" xr:uid="{4F51F7B3-0827-412A-80A9-7EBC81EF54CB}"/>
    <cellStyle name="Comma 4 3 2 2 2 3 2 3" xfId="12699" xr:uid="{BA89892B-0D52-4679-8F19-1F2164D12611}"/>
    <cellStyle name="Comma 4 3 2 2 2 3 3" xfId="5445" xr:uid="{00000000-0005-0000-0000-00001F090000}"/>
    <cellStyle name="Comma 4 3 2 2 2 3 3 2" xfId="14771" xr:uid="{E3AD92B9-1F7A-4245-8D2B-F6B052F2291F}"/>
    <cellStyle name="Comma 4 3 2 2 2 3 4" xfId="10554" xr:uid="{BCECE931-E571-4769-BA8C-9C5AC976DDC0}"/>
    <cellStyle name="Comma 4 3 2 2 2 4" xfId="1551" xr:uid="{00000000-0005-0000-0000-000020090000}"/>
    <cellStyle name="Comma 4 3 2 2 2 4 2" xfId="3781" xr:uid="{00000000-0005-0000-0000-000021090000}"/>
    <cellStyle name="Comma 4 3 2 2 2 4 2 2" xfId="8003" xr:uid="{00000000-0005-0000-0000-000022090000}"/>
    <cellStyle name="Comma 4 3 2 2 2 4 2 2 2" xfId="17329" xr:uid="{D1F444D3-3004-438E-B14D-CFAADEC65D44}"/>
    <cellStyle name="Comma 4 3 2 2 2 4 2 3" xfId="13112" xr:uid="{D60606F9-ED1E-4ED6-B9A9-9459A917EEDC}"/>
    <cellStyle name="Comma 4 3 2 2 2 4 3" xfId="5858" xr:uid="{00000000-0005-0000-0000-000023090000}"/>
    <cellStyle name="Comma 4 3 2 2 2 4 3 2" xfId="15184" xr:uid="{C4672F04-22BC-4024-A2A0-6191AFEB4ED6}"/>
    <cellStyle name="Comma 4 3 2 2 2 4 4" xfId="10967" xr:uid="{BEC6AB3B-D975-481A-B2DE-194752B94514}"/>
    <cellStyle name="Comma 4 3 2 2 2 5" xfId="1965" xr:uid="{00000000-0005-0000-0000-000024090000}"/>
    <cellStyle name="Comma 4 3 2 2 2 5 2" xfId="4194" xr:uid="{00000000-0005-0000-0000-000025090000}"/>
    <cellStyle name="Comma 4 3 2 2 2 5 2 2" xfId="8416" xr:uid="{00000000-0005-0000-0000-000026090000}"/>
    <cellStyle name="Comma 4 3 2 2 2 5 2 2 2" xfId="17742" xr:uid="{CFE10243-8F94-440D-AB2F-C08AF9F30982}"/>
    <cellStyle name="Comma 4 3 2 2 2 5 2 3" xfId="13525" xr:uid="{E7AEEDE3-8DAC-4D32-82A3-E1FAEEA58220}"/>
    <cellStyle name="Comma 4 3 2 2 2 5 3" xfId="6271" xr:uid="{00000000-0005-0000-0000-000027090000}"/>
    <cellStyle name="Comma 4 3 2 2 2 5 3 2" xfId="15597" xr:uid="{284376AE-AEC0-4288-8E5F-731D1D7FC98F}"/>
    <cellStyle name="Comma 4 3 2 2 2 5 4" xfId="11380" xr:uid="{7CC1F7DB-E473-4286-AEA4-AA8D719D70FE}"/>
    <cellStyle name="Comma 4 3 2 2 2 6" xfId="2400" xr:uid="{00000000-0005-0000-0000-000028090000}"/>
    <cellStyle name="Comma 4 3 2 2 2 6 2" xfId="6684" xr:uid="{00000000-0005-0000-0000-000029090000}"/>
    <cellStyle name="Comma 4 3 2 2 2 6 2 2" xfId="16010" xr:uid="{7D856688-B9C6-4135-85DD-41B1C757EDDD}"/>
    <cellStyle name="Comma 4 3 2 2 2 6 3" xfId="11793" xr:uid="{81E3A939-E5C5-4B4E-AAC0-DE2FBF2466AD}"/>
    <cellStyle name="Comma 4 3 2 2 2 7" xfId="2363" xr:uid="{00000000-0005-0000-0000-00002A090000}"/>
    <cellStyle name="Comma 4 3 2 2 2 8" xfId="2778" xr:uid="{00000000-0005-0000-0000-00002B090000}"/>
    <cellStyle name="Comma 4 3 2 2 2 8 2" xfId="7001" xr:uid="{00000000-0005-0000-0000-00002C090000}"/>
    <cellStyle name="Comma 4 3 2 2 2 8 2 2" xfId="16327" xr:uid="{DC151D2E-A99B-4013-A157-71EA2F857CF7}"/>
    <cellStyle name="Comma 4 3 2 2 2 8 3" xfId="12110" xr:uid="{1CB13727-6568-43A6-9EBB-C040BED24FCA}"/>
    <cellStyle name="Comma 4 3 2 2 2 9" xfId="4618" xr:uid="{00000000-0005-0000-0000-00002D090000}"/>
    <cellStyle name="Comma 4 3 2 2 2 9 2" xfId="13944" xr:uid="{F9E51ECB-EED9-4D5E-B50E-43CCF67E9F91}"/>
    <cellStyle name="Comma 4 3 2 2 3" xfId="683" xr:uid="{00000000-0005-0000-0000-00002E090000}"/>
    <cellStyle name="Comma 4 3 2 2 3 2" xfId="2954" xr:uid="{00000000-0005-0000-0000-00002F090000}"/>
    <cellStyle name="Comma 4 3 2 2 3 2 2" xfId="7176" xr:uid="{00000000-0005-0000-0000-000030090000}"/>
    <cellStyle name="Comma 4 3 2 2 3 2 2 2" xfId="16502" xr:uid="{38B8E36A-9ED8-482C-B56E-D76C6CC03C71}"/>
    <cellStyle name="Comma 4 3 2 2 3 2 3" xfId="12285" xr:uid="{DB59BC0B-92C4-4ABE-98A8-8701ACA8A95F}"/>
    <cellStyle name="Comma 4 3 2 2 3 3" xfId="5031" xr:uid="{00000000-0005-0000-0000-000031090000}"/>
    <cellStyle name="Comma 4 3 2 2 3 3 2" xfId="14357" xr:uid="{714C624B-4899-4B16-A96C-CFD4F872F162}"/>
    <cellStyle name="Comma 4 3 2 2 3 4" xfId="9335" xr:uid="{BACD532B-C811-4076-B107-03E74D1B7113}"/>
    <cellStyle name="Comma 4 3 2 2 3 4 2" xfId="18650" xr:uid="{07C78F18-9830-49BC-9E28-3DE49CE8E6E7}"/>
    <cellStyle name="Comma 4 3 2 2 3 5" xfId="10140" xr:uid="{3E896740-DAAE-4105-9600-1B9B0268E994}"/>
    <cellStyle name="Comma 4 3 2 2 4" xfId="1136" xr:uid="{00000000-0005-0000-0000-000032090000}"/>
    <cellStyle name="Comma 4 3 2 2 4 2" xfId="3367" xr:uid="{00000000-0005-0000-0000-000033090000}"/>
    <cellStyle name="Comma 4 3 2 2 4 2 2" xfId="7589" xr:uid="{00000000-0005-0000-0000-000034090000}"/>
    <cellStyle name="Comma 4 3 2 2 4 2 2 2" xfId="16915" xr:uid="{4FFE3E5E-821A-487F-8AB8-589E02A511F7}"/>
    <cellStyle name="Comma 4 3 2 2 4 2 3" xfId="12698" xr:uid="{1D9E4A79-1E6E-48B9-8C83-4045E247D861}"/>
    <cellStyle name="Comma 4 3 2 2 4 3" xfId="5444" xr:uid="{00000000-0005-0000-0000-000035090000}"/>
    <cellStyle name="Comma 4 3 2 2 4 3 2" xfId="14770" xr:uid="{9C69433E-5350-491F-BDFC-7C798B7B7E93}"/>
    <cellStyle name="Comma 4 3 2 2 4 4" xfId="10553" xr:uid="{6BF49791-6035-402D-8151-8EB3B8A9CE4D}"/>
    <cellStyle name="Comma 4 3 2 2 5" xfId="1550" xr:uid="{00000000-0005-0000-0000-000036090000}"/>
    <cellStyle name="Comma 4 3 2 2 5 2" xfId="3780" xr:uid="{00000000-0005-0000-0000-000037090000}"/>
    <cellStyle name="Comma 4 3 2 2 5 2 2" xfId="8002" xr:uid="{00000000-0005-0000-0000-000038090000}"/>
    <cellStyle name="Comma 4 3 2 2 5 2 2 2" xfId="17328" xr:uid="{1820EC91-BB0C-4FF9-8532-78A4D47FA460}"/>
    <cellStyle name="Comma 4 3 2 2 5 2 3" xfId="13111" xr:uid="{367F10B0-4225-4352-A3CE-1724AC10A122}"/>
    <cellStyle name="Comma 4 3 2 2 5 3" xfId="5857" xr:uid="{00000000-0005-0000-0000-000039090000}"/>
    <cellStyle name="Comma 4 3 2 2 5 3 2" xfId="15183" xr:uid="{FC703989-2447-416E-9D6E-0C9D7C734C59}"/>
    <cellStyle name="Comma 4 3 2 2 5 4" xfId="10966" xr:uid="{C793F516-4E09-4D9E-AB3D-B4596D415375}"/>
    <cellStyle name="Comma 4 3 2 2 6" xfId="1964" xr:uid="{00000000-0005-0000-0000-00003A090000}"/>
    <cellStyle name="Comma 4 3 2 2 6 2" xfId="4193" xr:uid="{00000000-0005-0000-0000-00003B090000}"/>
    <cellStyle name="Comma 4 3 2 2 6 2 2" xfId="8415" xr:uid="{00000000-0005-0000-0000-00003C090000}"/>
    <cellStyle name="Comma 4 3 2 2 6 2 2 2" xfId="17741" xr:uid="{20686DE4-94B0-4E5C-B54C-07AEBF6F459F}"/>
    <cellStyle name="Comma 4 3 2 2 6 2 3" xfId="13524" xr:uid="{02A7B4D5-4EC8-4458-B16F-A339474A1F1E}"/>
    <cellStyle name="Comma 4 3 2 2 6 3" xfId="6270" xr:uid="{00000000-0005-0000-0000-00003D090000}"/>
    <cellStyle name="Comma 4 3 2 2 6 3 2" xfId="15596" xr:uid="{3EF9A873-B70C-49DC-AEF2-B536879F1634}"/>
    <cellStyle name="Comma 4 3 2 2 6 4" xfId="11379" xr:uid="{7E59BEEC-A018-4E30-B69A-0023CAAECCEE}"/>
    <cellStyle name="Comma 4 3 2 2 7" xfId="2399" xr:uid="{00000000-0005-0000-0000-00003E090000}"/>
    <cellStyle name="Comma 4 3 2 2 7 2" xfId="6683" xr:uid="{00000000-0005-0000-0000-00003F090000}"/>
    <cellStyle name="Comma 4 3 2 2 7 2 2" xfId="16009" xr:uid="{276DFD09-5514-4770-B371-1F36DCDD1B2B}"/>
    <cellStyle name="Comma 4 3 2 2 7 3" xfId="11792" xr:uid="{000B07AA-84A6-417A-AB2D-0263A7A10B9C}"/>
    <cellStyle name="Comma 4 3 2 2 8" xfId="2364" xr:uid="{00000000-0005-0000-0000-000040090000}"/>
    <cellStyle name="Comma 4 3 2 2 9" xfId="2777" xr:uid="{00000000-0005-0000-0000-000041090000}"/>
    <cellStyle name="Comma 4 3 2 2 9 2" xfId="7000" xr:uid="{00000000-0005-0000-0000-000042090000}"/>
    <cellStyle name="Comma 4 3 2 2 9 2 2" xfId="16326" xr:uid="{4D1D954B-523C-4471-913A-7EAB6B6111FA}"/>
    <cellStyle name="Comma 4 3 2 2 9 3" xfId="12109" xr:uid="{2E495C84-4E02-45E3-90B9-AC07B555C5FA}"/>
    <cellStyle name="Comma 4 3 2 3" xfId="148" xr:uid="{00000000-0005-0000-0000-000043090000}"/>
    <cellStyle name="Comma 4 3 2 3 10" xfId="9014" xr:uid="{46568903-2C47-4BC3-8E78-5A47F62B319C}"/>
    <cellStyle name="Comma 4 3 2 3 10 2" xfId="18338" xr:uid="{F4921475-4E51-41B4-9A3E-CCA32AD8FC51}"/>
    <cellStyle name="Comma 4 3 2 3 11" xfId="9728" xr:uid="{AF230BFE-F9F8-4464-91D8-681340CD179E}"/>
    <cellStyle name="Comma 4 3 2 3 2" xfId="685" xr:uid="{00000000-0005-0000-0000-000044090000}"/>
    <cellStyle name="Comma 4 3 2 3 2 2" xfId="2956" xr:uid="{00000000-0005-0000-0000-000045090000}"/>
    <cellStyle name="Comma 4 3 2 3 2 2 2" xfId="7178" xr:uid="{00000000-0005-0000-0000-000046090000}"/>
    <cellStyle name="Comma 4 3 2 3 2 2 2 2" xfId="16504" xr:uid="{B7BBCB95-4588-489E-9941-4CE2C7CD26E3}"/>
    <cellStyle name="Comma 4 3 2 3 2 2 3" xfId="12287" xr:uid="{955372D5-528F-4206-A88A-9D4B03EEA587}"/>
    <cellStyle name="Comma 4 3 2 3 2 3" xfId="5033" xr:uid="{00000000-0005-0000-0000-000047090000}"/>
    <cellStyle name="Comma 4 3 2 3 2 3 2" xfId="14359" xr:uid="{0C657545-5146-47B2-AC31-93C941C00CAC}"/>
    <cellStyle name="Comma 4 3 2 3 2 4" xfId="9439" xr:uid="{2FD116B5-6902-4630-AFC5-CC8B06C5F457}"/>
    <cellStyle name="Comma 4 3 2 3 2 4 2" xfId="18754" xr:uid="{0B063FFC-DEEA-4997-9BB8-483639F61BCB}"/>
    <cellStyle name="Comma 4 3 2 3 2 5" xfId="10142" xr:uid="{F4D8422E-04B6-41FA-8798-D808C91F8D22}"/>
    <cellStyle name="Comma 4 3 2 3 3" xfId="1138" xr:uid="{00000000-0005-0000-0000-000048090000}"/>
    <cellStyle name="Comma 4 3 2 3 3 2" xfId="3369" xr:uid="{00000000-0005-0000-0000-000049090000}"/>
    <cellStyle name="Comma 4 3 2 3 3 2 2" xfId="7591" xr:uid="{00000000-0005-0000-0000-00004A090000}"/>
    <cellStyle name="Comma 4 3 2 3 3 2 2 2" xfId="16917" xr:uid="{FB79DD68-1B2A-48EC-BE6C-B0217D71F35B}"/>
    <cellStyle name="Comma 4 3 2 3 3 2 3" xfId="12700" xr:uid="{D8C820DA-EF14-4C4B-B41B-A1C5E51CE31D}"/>
    <cellStyle name="Comma 4 3 2 3 3 3" xfId="5446" xr:uid="{00000000-0005-0000-0000-00004B090000}"/>
    <cellStyle name="Comma 4 3 2 3 3 3 2" xfId="14772" xr:uid="{6C3730E7-3BF8-4C2D-9060-5B024CDB20FE}"/>
    <cellStyle name="Comma 4 3 2 3 3 4" xfId="10555" xr:uid="{E3C422E7-627E-4602-AF9E-2668478123D8}"/>
    <cellStyle name="Comma 4 3 2 3 4" xfId="1552" xr:uid="{00000000-0005-0000-0000-00004C090000}"/>
    <cellStyle name="Comma 4 3 2 3 4 2" xfId="3782" xr:uid="{00000000-0005-0000-0000-00004D090000}"/>
    <cellStyle name="Comma 4 3 2 3 4 2 2" xfId="8004" xr:uid="{00000000-0005-0000-0000-00004E090000}"/>
    <cellStyle name="Comma 4 3 2 3 4 2 2 2" xfId="17330" xr:uid="{F8B65ECB-8BF5-4AF6-AA7C-57C08835AB0E}"/>
    <cellStyle name="Comma 4 3 2 3 4 2 3" xfId="13113" xr:uid="{F7D7A5AB-2619-47F0-B624-432720DD2BC7}"/>
    <cellStyle name="Comma 4 3 2 3 4 3" xfId="5859" xr:uid="{00000000-0005-0000-0000-00004F090000}"/>
    <cellStyle name="Comma 4 3 2 3 4 3 2" xfId="15185" xr:uid="{64AA5A8A-980C-4A2B-96ED-9CBEEF19459D}"/>
    <cellStyle name="Comma 4 3 2 3 4 4" xfId="10968" xr:uid="{2DAAD510-1017-4623-8122-B38DD38E485C}"/>
    <cellStyle name="Comma 4 3 2 3 5" xfId="1966" xr:uid="{00000000-0005-0000-0000-000050090000}"/>
    <cellStyle name="Comma 4 3 2 3 5 2" xfId="4195" xr:uid="{00000000-0005-0000-0000-000051090000}"/>
    <cellStyle name="Comma 4 3 2 3 5 2 2" xfId="8417" xr:uid="{00000000-0005-0000-0000-000052090000}"/>
    <cellStyle name="Comma 4 3 2 3 5 2 2 2" xfId="17743" xr:uid="{46F3716F-7964-4847-B02C-A34FC0709688}"/>
    <cellStyle name="Comma 4 3 2 3 5 2 3" xfId="13526" xr:uid="{197FAED6-2B04-465B-9984-F04C2537C5D7}"/>
    <cellStyle name="Comma 4 3 2 3 5 3" xfId="6272" xr:uid="{00000000-0005-0000-0000-000053090000}"/>
    <cellStyle name="Comma 4 3 2 3 5 3 2" xfId="15598" xr:uid="{25C091D4-4CA0-4CB8-AFB3-180938689E8E}"/>
    <cellStyle name="Comma 4 3 2 3 5 4" xfId="11381" xr:uid="{E97767F9-081E-4F6A-A82C-5E7B1379AAFC}"/>
    <cellStyle name="Comma 4 3 2 3 6" xfId="2401" xr:uid="{00000000-0005-0000-0000-000054090000}"/>
    <cellStyle name="Comma 4 3 2 3 6 2" xfId="6685" xr:uid="{00000000-0005-0000-0000-000055090000}"/>
    <cellStyle name="Comma 4 3 2 3 6 2 2" xfId="16011" xr:uid="{43B2C4DC-30E4-4567-A4A3-46B08C12C945}"/>
    <cellStyle name="Comma 4 3 2 3 6 3" xfId="11794" xr:uid="{95EF173B-68E1-482F-8724-DFD5C91143A2}"/>
    <cellStyle name="Comma 4 3 2 3 7" xfId="2362" xr:uid="{00000000-0005-0000-0000-000056090000}"/>
    <cellStyle name="Comma 4 3 2 3 8" xfId="2779" xr:uid="{00000000-0005-0000-0000-000057090000}"/>
    <cellStyle name="Comma 4 3 2 3 8 2" xfId="7002" xr:uid="{00000000-0005-0000-0000-000058090000}"/>
    <cellStyle name="Comma 4 3 2 3 8 2 2" xfId="16328" xr:uid="{427CAE9E-B05C-476C-8EC1-17BB0F82F902}"/>
    <cellStyle name="Comma 4 3 2 3 8 3" xfId="12111" xr:uid="{9D3C085E-B57E-41C2-BD6F-3BC3392CC6DC}"/>
    <cellStyle name="Comma 4 3 2 3 9" xfId="4619" xr:uid="{00000000-0005-0000-0000-000059090000}"/>
    <cellStyle name="Comma 4 3 2 3 9 2" xfId="13945" xr:uid="{DDB77A6B-80B5-47EB-A6AD-CDFCE150267A}"/>
    <cellStyle name="Comma 4 3 2 4" xfId="682" xr:uid="{00000000-0005-0000-0000-00005A090000}"/>
    <cellStyle name="Comma 4 3 2 4 2" xfId="2953" xr:uid="{00000000-0005-0000-0000-00005B090000}"/>
    <cellStyle name="Comma 4 3 2 4 2 2" xfId="7175" xr:uid="{00000000-0005-0000-0000-00005C090000}"/>
    <cellStyle name="Comma 4 3 2 4 2 2 2" xfId="16501" xr:uid="{4D724CDA-7C16-4CED-AA21-D0FA5646FAFE}"/>
    <cellStyle name="Comma 4 3 2 4 2 3" xfId="12284" xr:uid="{B737F8B2-6100-408E-807C-1C5BAFA75C59}"/>
    <cellStyle name="Comma 4 3 2 4 3" xfId="5030" xr:uid="{00000000-0005-0000-0000-00005D090000}"/>
    <cellStyle name="Comma 4 3 2 4 3 2" xfId="14356" xr:uid="{DB275E6D-DCE9-4E3E-8FE5-F737B83A0FBA}"/>
    <cellStyle name="Comma 4 3 2 4 4" xfId="9232" xr:uid="{8193451B-D8F0-40BD-91ED-34E7041117F6}"/>
    <cellStyle name="Comma 4 3 2 4 4 2" xfId="18547" xr:uid="{96602C7C-736A-451F-A0A7-E6FA2387478C}"/>
    <cellStyle name="Comma 4 3 2 4 5" xfId="10139" xr:uid="{1EC922AA-EEB3-4B40-A3B8-290E63EAC0E6}"/>
    <cellStyle name="Comma 4 3 2 5" xfId="1135" xr:uid="{00000000-0005-0000-0000-00005E090000}"/>
    <cellStyle name="Comma 4 3 2 5 2" xfId="3366" xr:uid="{00000000-0005-0000-0000-00005F090000}"/>
    <cellStyle name="Comma 4 3 2 5 2 2" xfId="7588" xr:uid="{00000000-0005-0000-0000-000060090000}"/>
    <cellStyle name="Comma 4 3 2 5 2 2 2" xfId="16914" xr:uid="{68939DD3-046D-44FC-933B-D5FB4FBFF6C7}"/>
    <cellStyle name="Comma 4 3 2 5 2 3" xfId="12697" xr:uid="{3CB501D9-FC98-40DA-B5D0-37164CBB7B27}"/>
    <cellStyle name="Comma 4 3 2 5 3" xfId="5443" xr:uid="{00000000-0005-0000-0000-000061090000}"/>
    <cellStyle name="Comma 4 3 2 5 3 2" xfId="14769" xr:uid="{13CEE668-F8AE-4600-AE5F-61B8A709C083}"/>
    <cellStyle name="Comma 4 3 2 5 4" xfId="10552" xr:uid="{16FA10F3-CEA3-46D2-AE50-901AFD06A2FE}"/>
    <cellStyle name="Comma 4 3 2 6" xfId="1549" xr:uid="{00000000-0005-0000-0000-000062090000}"/>
    <cellStyle name="Comma 4 3 2 6 2" xfId="3779" xr:uid="{00000000-0005-0000-0000-000063090000}"/>
    <cellStyle name="Comma 4 3 2 6 2 2" xfId="8001" xr:uid="{00000000-0005-0000-0000-000064090000}"/>
    <cellStyle name="Comma 4 3 2 6 2 2 2" xfId="17327" xr:uid="{9ACF9EE7-B617-4B47-A099-4B45FEEFDAE2}"/>
    <cellStyle name="Comma 4 3 2 6 2 3" xfId="13110" xr:uid="{0326F43E-C725-47D7-80A0-FDB9188FED04}"/>
    <cellStyle name="Comma 4 3 2 6 3" xfId="5856" xr:uid="{00000000-0005-0000-0000-000065090000}"/>
    <cellStyle name="Comma 4 3 2 6 3 2" xfId="15182" xr:uid="{F9097F55-9448-4D91-9631-2DD29AB944D9}"/>
    <cellStyle name="Comma 4 3 2 6 4" xfId="10965" xr:uid="{FA9C56A8-139E-45D7-9473-5CFA99718006}"/>
    <cellStyle name="Comma 4 3 2 7" xfId="1963" xr:uid="{00000000-0005-0000-0000-000066090000}"/>
    <cellStyle name="Comma 4 3 2 7 2" xfId="4192" xr:uid="{00000000-0005-0000-0000-000067090000}"/>
    <cellStyle name="Comma 4 3 2 7 2 2" xfId="8414" xr:uid="{00000000-0005-0000-0000-000068090000}"/>
    <cellStyle name="Comma 4 3 2 7 2 2 2" xfId="17740" xr:uid="{6D4EE555-0EE4-4C69-BE70-88E29780F302}"/>
    <cellStyle name="Comma 4 3 2 7 2 3" xfId="13523" xr:uid="{4ACDC0C8-7229-46DA-ABC4-5F635B1C641A}"/>
    <cellStyle name="Comma 4 3 2 7 3" xfId="6269" xr:uid="{00000000-0005-0000-0000-000069090000}"/>
    <cellStyle name="Comma 4 3 2 7 3 2" xfId="15595" xr:uid="{994A11BA-B1A7-4D35-8C5B-50E7BD2EE32A}"/>
    <cellStyle name="Comma 4 3 2 7 4" xfId="11378" xr:uid="{B8BDDA09-FAB9-4B8B-B094-2B0A6D39F8B2}"/>
    <cellStyle name="Comma 4 3 2 8" xfId="2398" xr:uid="{00000000-0005-0000-0000-00006A090000}"/>
    <cellStyle name="Comma 4 3 2 8 2" xfId="6682" xr:uid="{00000000-0005-0000-0000-00006B090000}"/>
    <cellStyle name="Comma 4 3 2 8 2 2" xfId="16008" xr:uid="{1AE613EE-BC2E-433F-BB40-D3987BDB1D90}"/>
    <cellStyle name="Comma 4 3 2 8 3" xfId="11791" xr:uid="{47703E62-FB77-43D4-B42D-D74FDDA9C94A}"/>
    <cellStyle name="Comma 4 3 2 9" xfId="2365" xr:uid="{00000000-0005-0000-0000-00006C090000}"/>
    <cellStyle name="Comma 4 3 3" xfId="149" xr:uid="{00000000-0005-0000-0000-00006D090000}"/>
    <cellStyle name="Comma 4 3 3 10" xfId="4620" xr:uid="{00000000-0005-0000-0000-00006E090000}"/>
    <cellStyle name="Comma 4 3 3 10 2" xfId="13946" xr:uid="{0823F383-DF81-43E2-9422-DE730E634BAB}"/>
    <cellStyle name="Comma 4 3 3 11" xfId="8881" xr:uid="{ACA3BC7C-CED7-49C2-9DC3-E2A3989962E9}"/>
    <cellStyle name="Comma 4 3 3 11 2" xfId="18205" xr:uid="{90BC301C-B749-41D0-B85B-55750562E6C3}"/>
    <cellStyle name="Comma 4 3 3 12" xfId="9729" xr:uid="{F6D9D2D2-FCC4-474F-8FF3-BE5D90361531}"/>
    <cellStyle name="Comma 4 3 3 2" xfId="150" xr:uid="{00000000-0005-0000-0000-00006F090000}"/>
    <cellStyle name="Comma 4 3 3 2 10" xfId="9088" xr:uid="{D40CFC42-DEA3-4A4C-8532-2B6CFC29229D}"/>
    <cellStyle name="Comma 4 3 3 2 10 2" xfId="18412" xr:uid="{1855E3C5-8EA8-4E59-9D9E-62D21745B029}"/>
    <cellStyle name="Comma 4 3 3 2 11" xfId="9730" xr:uid="{9423EC31-8CEA-43C6-9711-92951B301400}"/>
    <cellStyle name="Comma 4 3 3 2 2" xfId="687" xr:uid="{00000000-0005-0000-0000-000070090000}"/>
    <cellStyle name="Comma 4 3 3 2 2 2" xfId="2958" xr:uid="{00000000-0005-0000-0000-000071090000}"/>
    <cellStyle name="Comma 4 3 3 2 2 2 2" xfId="7180" xr:uid="{00000000-0005-0000-0000-000072090000}"/>
    <cellStyle name="Comma 4 3 3 2 2 2 2 2" xfId="16506" xr:uid="{29DFF0FF-9B0A-43DD-BF41-97C7EC0BD41D}"/>
    <cellStyle name="Comma 4 3 3 2 2 2 3" xfId="12289" xr:uid="{F722DD29-0DFE-4D48-B59A-912E3AE5FD5A}"/>
    <cellStyle name="Comma 4 3 3 2 2 3" xfId="5035" xr:uid="{00000000-0005-0000-0000-000073090000}"/>
    <cellStyle name="Comma 4 3 3 2 2 3 2" xfId="14361" xr:uid="{76185BE9-326D-4232-A520-72EB20D713B5}"/>
    <cellStyle name="Comma 4 3 3 2 2 4" xfId="9513" xr:uid="{986E0DAD-8ABC-4DAC-9C56-EF87B6B3B829}"/>
    <cellStyle name="Comma 4 3 3 2 2 4 2" xfId="18828" xr:uid="{82F31665-B0F7-43B0-9939-2D79ABDC23DF}"/>
    <cellStyle name="Comma 4 3 3 2 2 5" xfId="10144" xr:uid="{676F7823-4464-4021-9F66-6494F0D2DE7C}"/>
    <cellStyle name="Comma 4 3 3 2 3" xfId="1140" xr:uid="{00000000-0005-0000-0000-000074090000}"/>
    <cellStyle name="Comma 4 3 3 2 3 2" xfId="3371" xr:uid="{00000000-0005-0000-0000-000075090000}"/>
    <cellStyle name="Comma 4 3 3 2 3 2 2" xfId="7593" xr:uid="{00000000-0005-0000-0000-000076090000}"/>
    <cellStyle name="Comma 4 3 3 2 3 2 2 2" xfId="16919" xr:uid="{DA1643E8-1B27-4E77-9DF2-8AAF8ED6D357}"/>
    <cellStyle name="Comma 4 3 3 2 3 2 3" xfId="12702" xr:uid="{61912946-1DBB-4957-8E7E-76420D0B83EF}"/>
    <cellStyle name="Comma 4 3 3 2 3 3" xfId="5448" xr:uid="{00000000-0005-0000-0000-000077090000}"/>
    <cellStyle name="Comma 4 3 3 2 3 3 2" xfId="14774" xr:uid="{E62B885D-E66C-4506-87DE-E1441716C02D}"/>
    <cellStyle name="Comma 4 3 3 2 3 4" xfId="10557" xr:uid="{8E4AE08F-63BC-4C6D-B2D0-BA1B6EDFAB02}"/>
    <cellStyle name="Comma 4 3 3 2 4" xfId="1554" xr:uid="{00000000-0005-0000-0000-000078090000}"/>
    <cellStyle name="Comma 4 3 3 2 4 2" xfId="3784" xr:uid="{00000000-0005-0000-0000-000079090000}"/>
    <cellStyle name="Comma 4 3 3 2 4 2 2" xfId="8006" xr:uid="{00000000-0005-0000-0000-00007A090000}"/>
    <cellStyle name="Comma 4 3 3 2 4 2 2 2" xfId="17332" xr:uid="{59748310-ECAE-4519-8E3C-C08EB0894181}"/>
    <cellStyle name="Comma 4 3 3 2 4 2 3" xfId="13115" xr:uid="{17EFF6F8-A886-42F8-B0CD-626499108BF4}"/>
    <cellStyle name="Comma 4 3 3 2 4 3" xfId="5861" xr:uid="{00000000-0005-0000-0000-00007B090000}"/>
    <cellStyle name="Comma 4 3 3 2 4 3 2" xfId="15187" xr:uid="{63494CA7-6F84-4414-8F97-0FBCF850AE6D}"/>
    <cellStyle name="Comma 4 3 3 2 4 4" xfId="10970" xr:uid="{75CCB75C-090B-4B89-AA62-E6AA6B6BEB6A}"/>
    <cellStyle name="Comma 4 3 3 2 5" xfId="1968" xr:uid="{00000000-0005-0000-0000-00007C090000}"/>
    <cellStyle name="Comma 4 3 3 2 5 2" xfId="4197" xr:uid="{00000000-0005-0000-0000-00007D090000}"/>
    <cellStyle name="Comma 4 3 3 2 5 2 2" xfId="8419" xr:uid="{00000000-0005-0000-0000-00007E090000}"/>
    <cellStyle name="Comma 4 3 3 2 5 2 2 2" xfId="17745" xr:uid="{15521EEB-C0A9-4F7D-9392-CADF0CE7A030}"/>
    <cellStyle name="Comma 4 3 3 2 5 2 3" xfId="13528" xr:uid="{05D4FFFC-963C-44A9-BEAC-5A321FAE9ADE}"/>
    <cellStyle name="Comma 4 3 3 2 5 3" xfId="6274" xr:uid="{00000000-0005-0000-0000-00007F090000}"/>
    <cellStyle name="Comma 4 3 3 2 5 3 2" xfId="15600" xr:uid="{B908A5AB-18B5-47E1-8CAF-622E5BB12D26}"/>
    <cellStyle name="Comma 4 3 3 2 5 4" xfId="11383" xr:uid="{164CA621-A3C9-40A2-AFF0-63E92CC02934}"/>
    <cellStyle name="Comma 4 3 3 2 6" xfId="2403" xr:uid="{00000000-0005-0000-0000-000080090000}"/>
    <cellStyle name="Comma 4 3 3 2 6 2" xfId="6687" xr:uid="{00000000-0005-0000-0000-000081090000}"/>
    <cellStyle name="Comma 4 3 3 2 6 2 2" xfId="16013" xr:uid="{46CBE6D9-D735-4B60-BCC7-B5711FDCE5B2}"/>
    <cellStyle name="Comma 4 3 3 2 6 3" xfId="11796" xr:uid="{6D713C23-2CDC-43E9-902D-6E67EE1417C4}"/>
    <cellStyle name="Comma 4 3 3 2 7" xfId="2360" xr:uid="{00000000-0005-0000-0000-000082090000}"/>
    <cellStyle name="Comma 4 3 3 2 8" xfId="2781" xr:uid="{00000000-0005-0000-0000-000083090000}"/>
    <cellStyle name="Comma 4 3 3 2 8 2" xfId="7004" xr:uid="{00000000-0005-0000-0000-000084090000}"/>
    <cellStyle name="Comma 4 3 3 2 8 2 2" xfId="16330" xr:uid="{E92935FA-3B41-418C-92E1-BAC1A809F4FF}"/>
    <cellStyle name="Comma 4 3 3 2 8 3" xfId="12113" xr:uid="{00460E80-CB2B-4AF9-8BA1-FC53EEC0C588}"/>
    <cellStyle name="Comma 4 3 3 2 9" xfId="4621" xr:uid="{00000000-0005-0000-0000-000085090000}"/>
    <cellStyle name="Comma 4 3 3 2 9 2" xfId="13947" xr:uid="{458107A8-74EC-423D-BBFF-7F62B3756E7A}"/>
    <cellStyle name="Comma 4 3 3 3" xfId="686" xr:uid="{00000000-0005-0000-0000-000086090000}"/>
    <cellStyle name="Comma 4 3 3 3 2" xfId="2957" xr:uid="{00000000-0005-0000-0000-000087090000}"/>
    <cellStyle name="Comma 4 3 3 3 2 2" xfId="7179" xr:uid="{00000000-0005-0000-0000-000088090000}"/>
    <cellStyle name="Comma 4 3 3 3 2 2 2" xfId="16505" xr:uid="{9CFA13D4-1A52-4FB1-9025-E7228F40EC2D}"/>
    <cellStyle name="Comma 4 3 3 3 2 3" xfId="12288" xr:uid="{A8A2503E-A54E-4E99-833F-29044836512F}"/>
    <cellStyle name="Comma 4 3 3 3 3" xfId="5034" xr:uid="{00000000-0005-0000-0000-000089090000}"/>
    <cellStyle name="Comma 4 3 3 3 3 2" xfId="14360" xr:uid="{732B8664-7E47-452F-8EF9-5A9A204F7EDB}"/>
    <cellStyle name="Comma 4 3 3 3 4" xfId="9306" xr:uid="{6AC2749B-EC1D-4760-AD4B-F36381A669B6}"/>
    <cellStyle name="Comma 4 3 3 3 4 2" xfId="18621" xr:uid="{6EF58FAA-8088-474B-BC66-27B59987DF2B}"/>
    <cellStyle name="Comma 4 3 3 3 5" xfId="10143" xr:uid="{940368A8-8822-432B-AA82-37AEB23B897F}"/>
    <cellStyle name="Comma 4 3 3 4" xfId="1139" xr:uid="{00000000-0005-0000-0000-00008A090000}"/>
    <cellStyle name="Comma 4 3 3 4 2" xfId="3370" xr:uid="{00000000-0005-0000-0000-00008B090000}"/>
    <cellStyle name="Comma 4 3 3 4 2 2" xfId="7592" xr:uid="{00000000-0005-0000-0000-00008C090000}"/>
    <cellStyle name="Comma 4 3 3 4 2 2 2" xfId="16918" xr:uid="{FF9FE83E-30F8-43E3-ACDD-37725BF6DE43}"/>
    <cellStyle name="Comma 4 3 3 4 2 3" xfId="12701" xr:uid="{8F55C719-7F9A-4707-AC4C-3ED6754AF732}"/>
    <cellStyle name="Comma 4 3 3 4 3" xfId="5447" xr:uid="{00000000-0005-0000-0000-00008D090000}"/>
    <cellStyle name="Comma 4 3 3 4 3 2" xfId="14773" xr:uid="{CFD1F501-6A33-4CC3-9D03-CF01A5303760}"/>
    <cellStyle name="Comma 4 3 3 4 4" xfId="10556" xr:uid="{100EA7D8-027D-45EC-8A74-87F0F30B9561}"/>
    <cellStyle name="Comma 4 3 3 5" xfId="1553" xr:uid="{00000000-0005-0000-0000-00008E090000}"/>
    <cellStyle name="Comma 4 3 3 5 2" xfId="3783" xr:uid="{00000000-0005-0000-0000-00008F090000}"/>
    <cellStyle name="Comma 4 3 3 5 2 2" xfId="8005" xr:uid="{00000000-0005-0000-0000-000090090000}"/>
    <cellStyle name="Comma 4 3 3 5 2 2 2" xfId="17331" xr:uid="{BBABD29A-2F88-42E3-A51B-B1FF09BEBBB3}"/>
    <cellStyle name="Comma 4 3 3 5 2 3" xfId="13114" xr:uid="{F5D3FEB2-1BEA-437D-A8BF-3C86BA22F0C5}"/>
    <cellStyle name="Comma 4 3 3 5 3" xfId="5860" xr:uid="{00000000-0005-0000-0000-000091090000}"/>
    <cellStyle name="Comma 4 3 3 5 3 2" xfId="15186" xr:uid="{F0250D71-D846-49D9-BF8A-AE07ACF67166}"/>
    <cellStyle name="Comma 4 3 3 5 4" xfId="10969" xr:uid="{8BC97718-629F-4426-87C0-89194C27C14F}"/>
    <cellStyle name="Comma 4 3 3 6" xfId="1967" xr:uid="{00000000-0005-0000-0000-000092090000}"/>
    <cellStyle name="Comma 4 3 3 6 2" xfId="4196" xr:uid="{00000000-0005-0000-0000-000093090000}"/>
    <cellStyle name="Comma 4 3 3 6 2 2" xfId="8418" xr:uid="{00000000-0005-0000-0000-000094090000}"/>
    <cellStyle name="Comma 4 3 3 6 2 2 2" xfId="17744" xr:uid="{25B177F2-C46E-4256-B0B2-86FCB413DC58}"/>
    <cellStyle name="Comma 4 3 3 6 2 3" xfId="13527" xr:uid="{31A01DA5-A479-401B-8C0D-4CD9048A6F15}"/>
    <cellStyle name="Comma 4 3 3 6 3" xfId="6273" xr:uid="{00000000-0005-0000-0000-000095090000}"/>
    <cellStyle name="Comma 4 3 3 6 3 2" xfId="15599" xr:uid="{03EA7B87-DAFF-43DD-BD58-4455ECDBE158}"/>
    <cellStyle name="Comma 4 3 3 6 4" xfId="11382" xr:uid="{E08FD8DD-AEE0-460A-8BFC-BE758BD01D48}"/>
    <cellStyle name="Comma 4 3 3 7" xfId="2402" xr:uid="{00000000-0005-0000-0000-000096090000}"/>
    <cellStyle name="Comma 4 3 3 7 2" xfId="6686" xr:uid="{00000000-0005-0000-0000-000097090000}"/>
    <cellStyle name="Comma 4 3 3 7 2 2" xfId="16012" xr:uid="{4AED3D4F-93CE-46AB-90CC-7E66F89B8FB1}"/>
    <cellStyle name="Comma 4 3 3 7 3" xfId="11795" xr:uid="{2FA13BD4-48D0-4026-A480-6661F182BA57}"/>
    <cellStyle name="Comma 4 3 3 8" xfId="2361" xr:uid="{00000000-0005-0000-0000-000098090000}"/>
    <cellStyle name="Comma 4 3 3 9" xfId="2780" xr:uid="{00000000-0005-0000-0000-000099090000}"/>
    <cellStyle name="Comma 4 3 3 9 2" xfId="7003" xr:uid="{00000000-0005-0000-0000-00009A090000}"/>
    <cellStyle name="Comma 4 3 3 9 2 2" xfId="16329" xr:uid="{EB8C060F-2BD5-401D-AC5E-C198A2BF72E9}"/>
    <cellStyle name="Comma 4 3 3 9 3" xfId="12112" xr:uid="{43CDC4FA-AA2D-4A7F-9D90-F41DA9BA8B54}"/>
    <cellStyle name="Comma 4 3 4" xfId="151" xr:uid="{00000000-0005-0000-0000-00009B090000}"/>
    <cellStyle name="Comma 4 3 4 10" xfId="8985" xr:uid="{E965CEC1-A932-4F91-9E18-794CBF7DC7FC}"/>
    <cellStyle name="Comma 4 3 4 10 2" xfId="18309" xr:uid="{2B26F42B-3DFB-40A8-B238-22AA519CD940}"/>
    <cellStyle name="Comma 4 3 4 11" xfId="9731" xr:uid="{70469529-223A-4CB2-B168-076300740CC4}"/>
    <cellStyle name="Comma 4 3 4 2" xfId="688" xr:uid="{00000000-0005-0000-0000-00009C090000}"/>
    <cellStyle name="Comma 4 3 4 2 2" xfId="2959" xr:uid="{00000000-0005-0000-0000-00009D090000}"/>
    <cellStyle name="Comma 4 3 4 2 2 2" xfId="7181" xr:uid="{00000000-0005-0000-0000-00009E090000}"/>
    <cellStyle name="Comma 4 3 4 2 2 2 2" xfId="16507" xr:uid="{E82EA88E-574C-43D6-B9CF-EF72874190DC}"/>
    <cellStyle name="Comma 4 3 4 2 2 3" xfId="12290" xr:uid="{3D479A4A-6FF5-4265-84E8-E1CE0ECBCF36}"/>
    <cellStyle name="Comma 4 3 4 2 3" xfId="5036" xr:uid="{00000000-0005-0000-0000-00009F090000}"/>
    <cellStyle name="Comma 4 3 4 2 3 2" xfId="14362" xr:uid="{D0645934-0034-46D6-9998-F002E038D7EE}"/>
    <cellStyle name="Comma 4 3 4 2 4" xfId="9410" xr:uid="{54DEC146-6204-4AAF-A15F-BAC0A12B5984}"/>
    <cellStyle name="Comma 4 3 4 2 4 2" xfId="18725" xr:uid="{D32F631F-C5B2-4187-AB1D-5420C54F873B}"/>
    <cellStyle name="Comma 4 3 4 2 5" xfId="10145" xr:uid="{87260673-CA23-40A4-9345-5F5B107EE659}"/>
    <cellStyle name="Comma 4 3 4 3" xfId="1141" xr:uid="{00000000-0005-0000-0000-0000A0090000}"/>
    <cellStyle name="Comma 4 3 4 3 2" xfId="3372" xr:uid="{00000000-0005-0000-0000-0000A1090000}"/>
    <cellStyle name="Comma 4 3 4 3 2 2" xfId="7594" xr:uid="{00000000-0005-0000-0000-0000A2090000}"/>
    <cellStyle name="Comma 4 3 4 3 2 2 2" xfId="16920" xr:uid="{C4E3852B-B751-4F43-B441-1C1F4F940057}"/>
    <cellStyle name="Comma 4 3 4 3 2 3" xfId="12703" xr:uid="{4AE19DE6-EBE4-4FDC-8F4C-57FA9CBDA802}"/>
    <cellStyle name="Comma 4 3 4 3 3" xfId="5449" xr:uid="{00000000-0005-0000-0000-0000A3090000}"/>
    <cellStyle name="Comma 4 3 4 3 3 2" xfId="14775" xr:uid="{D0DC8147-8B01-4DAC-AA85-EC2FBC1DC089}"/>
    <cellStyle name="Comma 4 3 4 3 4" xfId="10558" xr:uid="{671A2E69-05B9-4620-A32F-9F54BB26242D}"/>
    <cellStyle name="Comma 4 3 4 4" xfId="1555" xr:uid="{00000000-0005-0000-0000-0000A4090000}"/>
    <cellStyle name="Comma 4 3 4 4 2" xfId="3785" xr:uid="{00000000-0005-0000-0000-0000A5090000}"/>
    <cellStyle name="Comma 4 3 4 4 2 2" xfId="8007" xr:uid="{00000000-0005-0000-0000-0000A6090000}"/>
    <cellStyle name="Comma 4 3 4 4 2 2 2" xfId="17333" xr:uid="{8610B7F2-5285-48C3-A296-2511DE3BC03D}"/>
    <cellStyle name="Comma 4 3 4 4 2 3" xfId="13116" xr:uid="{F615E21E-4A85-4709-BE46-2E37A71CAE23}"/>
    <cellStyle name="Comma 4 3 4 4 3" xfId="5862" xr:uid="{00000000-0005-0000-0000-0000A7090000}"/>
    <cellStyle name="Comma 4 3 4 4 3 2" xfId="15188" xr:uid="{060FC28F-16B8-4651-9659-C8182B9AFCF2}"/>
    <cellStyle name="Comma 4 3 4 4 4" xfId="10971" xr:uid="{E64337F7-F48D-4FB6-8A6D-2D37CC1F43FE}"/>
    <cellStyle name="Comma 4 3 4 5" xfId="1969" xr:uid="{00000000-0005-0000-0000-0000A8090000}"/>
    <cellStyle name="Comma 4 3 4 5 2" xfId="4198" xr:uid="{00000000-0005-0000-0000-0000A9090000}"/>
    <cellStyle name="Comma 4 3 4 5 2 2" xfId="8420" xr:uid="{00000000-0005-0000-0000-0000AA090000}"/>
    <cellStyle name="Comma 4 3 4 5 2 2 2" xfId="17746" xr:uid="{3F14145D-A177-48B4-A5A4-E04EA11D3362}"/>
    <cellStyle name="Comma 4 3 4 5 2 3" xfId="13529" xr:uid="{09F0BC84-BE47-4BF2-9521-09764AD80474}"/>
    <cellStyle name="Comma 4 3 4 5 3" xfId="6275" xr:uid="{00000000-0005-0000-0000-0000AB090000}"/>
    <cellStyle name="Comma 4 3 4 5 3 2" xfId="15601" xr:uid="{A3B7BC71-C842-4C58-BB54-CFD6244CD9D3}"/>
    <cellStyle name="Comma 4 3 4 5 4" xfId="11384" xr:uid="{74BE4EDE-EE4C-42E2-97DC-B082AB600CA3}"/>
    <cellStyle name="Comma 4 3 4 6" xfId="2404" xr:uid="{00000000-0005-0000-0000-0000AC090000}"/>
    <cellStyle name="Comma 4 3 4 6 2" xfId="6688" xr:uid="{00000000-0005-0000-0000-0000AD090000}"/>
    <cellStyle name="Comma 4 3 4 6 2 2" xfId="16014" xr:uid="{202F4CE3-A30A-4242-ADEB-4E30EEC07CB8}"/>
    <cellStyle name="Comma 4 3 4 6 3" xfId="11797" xr:uid="{0B22D07A-7D80-46F0-B676-DF249058C7A3}"/>
    <cellStyle name="Comma 4 3 4 7" xfId="2700" xr:uid="{00000000-0005-0000-0000-0000AE090000}"/>
    <cellStyle name="Comma 4 3 4 8" xfId="2782" xr:uid="{00000000-0005-0000-0000-0000AF090000}"/>
    <cellStyle name="Comma 4 3 4 8 2" xfId="7005" xr:uid="{00000000-0005-0000-0000-0000B0090000}"/>
    <cellStyle name="Comma 4 3 4 8 2 2" xfId="16331" xr:uid="{191DC34E-0A08-4BF6-8A13-0456F5E25ED4}"/>
    <cellStyle name="Comma 4 3 4 8 3" xfId="12114" xr:uid="{21FB02B7-C25A-4EC4-845F-F763CB2E206D}"/>
    <cellStyle name="Comma 4 3 4 9" xfId="4622" xr:uid="{00000000-0005-0000-0000-0000B1090000}"/>
    <cellStyle name="Comma 4 3 4 9 2" xfId="13948" xr:uid="{49F6C03E-7115-4635-B40C-E53A3C39DA5B}"/>
    <cellStyle name="Comma 4 3 5" xfId="152" xr:uid="{00000000-0005-0000-0000-0000B2090000}"/>
    <cellStyle name="Comma 4 3 5 10" xfId="9202" xr:uid="{BF5456DA-E11C-47BD-8210-21F45D9E5F79}"/>
    <cellStyle name="Comma 4 3 5 10 2" xfId="18518" xr:uid="{FE4CB076-5174-47D1-AB8D-DE0E0F48C96A}"/>
    <cellStyle name="Comma 4 3 5 11" xfId="9732" xr:uid="{B2E40F7A-0E36-44D3-97C5-AA95BAC69A8C}"/>
    <cellStyle name="Comma 4 3 5 2" xfId="689" xr:uid="{00000000-0005-0000-0000-0000B3090000}"/>
    <cellStyle name="Comma 4 3 5 2 2" xfId="2960" xr:uid="{00000000-0005-0000-0000-0000B4090000}"/>
    <cellStyle name="Comma 4 3 5 2 2 2" xfId="7182" xr:uid="{00000000-0005-0000-0000-0000B5090000}"/>
    <cellStyle name="Comma 4 3 5 2 2 2 2" xfId="16508" xr:uid="{BA0B7A2E-DD8B-4AD2-83D8-B7F7D887BCE5}"/>
    <cellStyle name="Comma 4 3 5 2 2 3" xfId="12291" xr:uid="{441C7E29-33DC-43D2-9E61-0CEFEE143A5F}"/>
    <cellStyle name="Comma 4 3 5 2 3" xfId="5037" xr:uid="{00000000-0005-0000-0000-0000B6090000}"/>
    <cellStyle name="Comma 4 3 5 2 3 2" xfId="14363" xr:uid="{6CDF0056-4924-43B6-8566-AD774C3C4893}"/>
    <cellStyle name="Comma 4 3 5 2 4" xfId="9595" xr:uid="{3E6BF710-D2EA-4AFB-83F1-C6BF1C2192FF}"/>
    <cellStyle name="Comma 4 3 5 2 4 2" xfId="18899" xr:uid="{5CFE2496-4B88-418E-A3CC-6F6AC81D6A23}"/>
    <cellStyle name="Comma 4 3 5 2 5" xfId="10146" xr:uid="{A8AC3DEE-52CE-4899-9089-F169399805C7}"/>
    <cellStyle name="Comma 4 3 5 3" xfId="1142" xr:uid="{00000000-0005-0000-0000-0000B7090000}"/>
    <cellStyle name="Comma 4 3 5 3 2" xfId="3373" xr:uid="{00000000-0005-0000-0000-0000B8090000}"/>
    <cellStyle name="Comma 4 3 5 3 2 2" xfId="7595" xr:uid="{00000000-0005-0000-0000-0000B9090000}"/>
    <cellStyle name="Comma 4 3 5 3 2 2 2" xfId="16921" xr:uid="{801C68EE-2875-4F09-9FFE-4B631493E42A}"/>
    <cellStyle name="Comma 4 3 5 3 2 3" xfId="12704" xr:uid="{8B468050-C79F-4981-8D1B-79AF962A483A}"/>
    <cellStyle name="Comma 4 3 5 3 3" xfId="5450" xr:uid="{00000000-0005-0000-0000-0000BA090000}"/>
    <cellStyle name="Comma 4 3 5 3 3 2" xfId="14776" xr:uid="{13A9AE1F-0D7B-4A75-9946-AA18249A4D84}"/>
    <cellStyle name="Comma 4 3 5 3 4" xfId="10559" xr:uid="{BE1074AF-0128-4F1E-8F75-0DA74F254738}"/>
    <cellStyle name="Comma 4 3 5 4" xfId="1556" xr:uid="{00000000-0005-0000-0000-0000BB090000}"/>
    <cellStyle name="Comma 4 3 5 4 2" xfId="3786" xr:uid="{00000000-0005-0000-0000-0000BC090000}"/>
    <cellStyle name="Comma 4 3 5 4 2 2" xfId="8008" xr:uid="{00000000-0005-0000-0000-0000BD090000}"/>
    <cellStyle name="Comma 4 3 5 4 2 2 2" xfId="17334" xr:uid="{29AB76EE-A610-4A93-9A4D-013F05B25128}"/>
    <cellStyle name="Comma 4 3 5 4 2 3" xfId="13117" xr:uid="{491E4D60-C97B-441B-95A3-184AD8FC62D1}"/>
    <cellStyle name="Comma 4 3 5 4 3" xfId="5863" xr:uid="{00000000-0005-0000-0000-0000BE090000}"/>
    <cellStyle name="Comma 4 3 5 4 3 2" xfId="15189" xr:uid="{3E150E19-BBD4-4103-B066-30923E0D8972}"/>
    <cellStyle name="Comma 4 3 5 4 4" xfId="10972" xr:uid="{4DFC91B6-CF7E-4A2C-A481-CEE9B36AD5F1}"/>
    <cellStyle name="Comma 4 3 5 5" xfId="1970" xr:uid="{00000000-0005-0000-0000-0000BF090000}"/>
    <cellStyle name="Comma 4 3 5 5 2" xfId="4199" xr:uid="{00000000-0005-0000-0000-0000C0090000}"/>
    <cellStyle name="Comma 4 3 5 5 2 2" xfId="8421" xr:uid="{00000000-0005-0000-0000-0000C1090000}"/>
    <cellStyle name="Comma 4 3 5 5 2 2 2" xfId="17747" xr:uid="{49E70781-FF50-4AB4-9BA6-B1E3D3E70DB5}"/>
    <cellStyle name="Comma 4 3 5 5 2 3" xfId="13530" xr:uid="{560CBB58-964C-4AE3-97B1-0F4427653A94}"/>
    <cellStyle name="Comma 4 3 5 5 3" xfId="6276" xr:uid="{00000000-0005-0000-0000-0000C2090000}"/>
    <cellStyle name="Comma 4 3 5 5 3 2" xfId="15602" xr:uid="{A492D628-FF8F-4066-A31F-3C9001E1AC60}"/>
    <cellStyle name="Comma 4 3 5 5 4" xfId="11385" xr:uid="{EFE7B2CD-3EF0-4B63-BF7F-F93D51B25687}"/>
    <cellStyle name="Comma 4 3 5 6" xfId="2405" xr:uid="{00000000-0005-0000-0000-0000C3090000}"/>
    <cellStyle name="Comma 4 3 5 6 2" xfId="6689" xr:uid="{00000000-0005-0000-0000-0000C4090000}"/>
    <cellStyle name="Comma 4 3 5 6 2 2" xfId="16015" xr:uid="{770D3148-D719-431F-B99E-712999ED9E9B}"/>
    <cellStyle name="Comma 4 3 5 6 3" xfId="11798" xr:uid="{FE180304-55A7-4E58-B124-97B2CA121AE0}"/>
    <cellStyle name="Comma 4 3 5 7" xfId="2701" xr:uid="{00000000-0005-0000-0000-0000C5090000}"/>
    <cellStyle name="Comma 4 3 5 8" xfId="2783" xr:uid="{00000000-0005-0000-0000-0000C6090000}"/>
    <cellStyle name="Comma 4 3 5 8 2" xfId="7006" xr:uid="{00000000-0005-0000-0000-0000C7090000}"/>
    <cellStyle name="Comma 4 3 5 8 2 2" xfId="16332" xr:uid="{D842A599-30C6-4924-A536-A2D667B7A80D}"/>
    <cellStyle name="Comma 4 3 5 8 3" xfId="12115" xr:uid="{AD52B9BA-FCFB-4198-BF35-69D38C938A53}"/>
    <cellStyle name="Comma 4 3 5 9" xfId="4623" xr:uid="{00000000-0005-0000-0000-0000C8090000}"/>
    <cellStyle name="Comma 4 3 5 9 2" xfId="13949" xr:uid="{42BF12C1-16B6-4C5F-B75D-6732C02BB17C}"/>
    <cellStyle name="Comma 4 3 6" xfId="9582" xr:uid="{F1B74700-6F25-44D3-B4B6-1EFC63A6078B}"/>
    <cellStyle name="Comma 4 3 7" xfId="8778" xr:uid="{01CB0168-3495-42C5-9A13-F25D4D0EF35E}"/>
    <cellStyle name="Comma 4 3 7 2" xfId="18102" xr:uid="{AE0AD487-09F1-43DF-BB13-72EB3456101F}"/>
    <cellStyle name="Comma 4 4" xfId="153" xr:uid="{00000000-0005-0000-0000-0000C9090000}"/>
    <cellStyle name="Comma 4 4 10" xfId="2784" xr:uid="{00000000-0005-0000-0000-0000CA090000}"/>
    <cellStyle name="Comma 4 4 10 2" xfId="7007" xr:uid="{00000000-0005-0000-0000-0000CB090000}"/>
    <cellStyle name="Comma 4 4 10 2 2" xfId="16333" xr:uid="{F3B1C3EE-114E-49F1-AA40-15D092152284}"/>
    <cellStyle name="Comma 4 4 10 3" xfId="12116" xr:uid="{29110C33-8D54-42A4-93AA-0337B6D72053}"/>
    <cellStyle name="Comma 4 4 11" xfId="4624" xr:uid="{00000000-0005-0000-0000-0000CC090000}"/>
    <cellStyle name="Comma 4 4 11 2" xfId="13950" xr:uid="{D35C4999-EDAD-422F-B314-894E975982EC}"/>
    <cellStyle name="Comma 4 4 12" xfId="8804" xr:uid="{A2BB6322-7771-45CD-845C-77E2FE03AC7A}"/>
    <cellStyle name="Comma 4 4 12 2" xfId="18128" xr:uid="{52C6CD6E-54E2-4693-AA0C-6F6BBAC39493}"/>
    <cellStyle name="Comma 4 4 13" xfId="9733" xr:uid="{90EEF08F-8647-40D8-8884-3FC5A3188C54}"/>
    <cellStyle name="Comma 4 4 2" xfId="154" xr:uid="{00000000-0005-0000-0000-0000CD090000}"/>
    <cellStyle name="Comma 4 4 2 10" xfId="4625" xr:uid="{00000000-0005-0000-0000-0000CE090000}"/>
    <cellStyle name="Comma 4 4 2 10 2" xfId="13951" xr:uid="{4AAF13BC-518C-44EB-9AE8-930845477077}"/>
    <cellStyle name="Comma 4 4 2 11" xfId="8907" xr:uid="{F9F87618-3BA1-4211-A686-62CF5BBA5770}"/>
    <cellStyle name="Comma 4 4 2 11 2" xfId="18231" xr:uid="{8EFFEA4D-3526-4766-8B48-221B53FD3CDF}"/>
    <cellStyle name="Comma 4 4 2 12" xfId="9734" xr:uid="{1358363D-FC88-4A40-B948-53C8127E3FFF}"/>
    <cellStyle name="Comma 4 4 2 2" xfId="155" xr:uid="{00000000-0005-0000-0000-0000CF090000}"/>
    <cellStyle name="Comma 4 4 2 2 10" xfId="9114" xr:uid="{871FAC03-A44E-4C24-806C-3CC0605FD124}"/>
    <cellStyle name="Comma 4 4 2 2 10 2" xfId="18438" xr:uid="{185B550C-A987-4914-9205-BC00B5C94EB0}"/>
    <cellStyle name="Comma 4 4 2 2 11" xfId="9735" xr:uid="{F451C049-75A1-443E-86F6-9CEA3B71E925}"/>
    <cellStyle name="Comma 4 4 2 2 2" xfId="692" xr:uid="{00000000-0005-0000-0000-0000D0090000}"/>
    <cellStyle name="Comma 4 4 2 2 2 2" xfId="2963" xr:uid="{00000000-0005-0000-0000-0000D1090000}"/>
    <cellStyle name="Comma 4 4 2 2 2 2 2" xfId="7185" xr:uid="{00000000-0005-0000-0000-0000D2090000}"/>
    <cellStyle name="Comma 4 4 2 2 2 2 2 2" xfId="16511" xr:uid="{856D3ACE-8711-47D7-8973-5A44BD0BCE84}"/>
    <cellStyle name="Comma 4 4 2 2 2 2 3" xfId="12294" xr:uid="{4BA17CEE-7C9E-4DAC-8159-A3317EB28E8D}"/>
    <cellStyle name="Comma 4 4 2 2 2 3" xfId="5040" xr:uid="{00000000-0005-0000-0000-0000D3090000}"/>
    <cellStyle name="Comma 4 4 2 2 2 3 2" xfId="14366" xr:uid="{30A7F12D-D5E8-4FFD-A268-3CA36735C918}"/>
    <cellStyle name="Comma 4 4 2 2 2 4" xfId="9539" xr:uid="{6209A471-8158-46C6-9ADA-C828BB6621B2}"/>
    <cellStyle name="Comma 4 4 2 2 2 4 2" xfId="18854" xr:uid="{97F73037-8348-4694-9B74-3D8DC9EAEA5D}"/>
    <cellStyle name="Comma 4 4 2 2 2 5" xfId="10149" xr:uid="{9A732889-AD72-4B98-927B-0DE75B57B52C}"/>
    <cellStyle name="Comma 4 4 2 2 3" xfId="1145" xr:uid="{00000000-0005-0000-0000-0000D4090000}"/>
    <cellStyle name="Comma 4 4 2 2 3 2" xfId="3376" xr:uid="{00000000-0005-0000-0000-0000D5090000}"/>
    <cellStyle name="Comma 4 4 2 2 3 2 2" xfId="7598" xr:uid="{00000000-0005-0000-0000-0000D6090000}"/>
    <cellStyle name="Comma 4 4 2 2 3 2 2 2" xfId="16924" xr:uid="{F9C0B473-266F-44A2-8909-936C5103B576}"/>
    <cellStyle name="Comma 4 4 2 2 3 2 3" xfId="12707" xr:uid="{566957B2-2F06-4117-98A1-14DAE6E3D9A4}"/>
    <cellStyle name="Comma 4 4 2 2 3 3" xfId="5453" xr:uid="{00000000-0005-0000-0000-0000D7090000}"/>
    <cellStyle name="Comma 4 4 2 2 3 3 2" xfId="14779" xr:uid="{F26BF0CB-A83B-4781-BDDC-0D13CAD207B6}"/>
    <cellStyle name="Comma 4 4 2 2 3 4" xfId="10562" xr:uid="{A981C3E2-4390-4660-AB0F-D6B8871F5F2F}"/>
    <cellStyle name="Comma 4 4 2 2 4" xfId="1559" xr:uid="{00000000-0005-0000-0000-0000D8090000}"/>
    <cellStyle name="Comma 4 4 2 2 4 2" xfId="3789" xr:uid="{00000000-0005-0000-0000-0000D9090000}"/>
    <cellStyle name="Comma 4 4 2 2 4 2 2" xfId="8011" xr:uid="{00000000-0005-0000-0000-0000DA090000}"/>
    <cellStyle name="Comma 4 4 2 2 4 2 2 2" xfId="17337" xr:uid="{A7DA404B-5128-4557-B4EA-0E20B68DE2C7}"/>
    <cellStyle name="Comma 4 4 2 2 4 2 3" xfId="13120" xr:uid="{E6670291-6BD2-4179-856E-64D4FD402EEF}"/>
    <cellStyle name="Comma 4 4 2 2 4 3" xfId="5866" xr:uid="{00000000-0005-0000-0000-0000DB090000}"/>
    <cellStyle name="Comma 4 4 2 2 4 3 2" xfId="15192" xr:uid="{88690E33-FE7B-46E7-9157-BB16C442AEFD}"/>
    <cellStyle name="Comma 4 4 2 2 4 4" xfId="10975" xr:uid="{95A2FD10-1E22-4B12-A92B-F2D99DDAE1E8}"/>
    <cellStyle name="Comma 4 4 2 2 5" xfId="1973" xr:uid="{00000000-0005-0000-0000-0000DC090000}"/>
    <cellStyle name="Comma 4 4 2 2 5 2" xfId="4202" xr:uid="{00000000-0005-0000-0000-0000DD090000}"/>
    <cellStyle name="Comma 4 4 2 2 5 2 2" xfId="8424" xr:uid="{00000000-0005-0000-0000-0000DE090000}"/>
    <cellStyle name="Comma 4 4 2 2 5 2 2 2" xfId="17750" xr:uid="{B2AC9575-B71A-44D0-8FD3-EAA4B4594D09}"/>
    <cellStyle name="Comma 4 4 2 2 5 2 3" xfId="13533" xr:uid="{46FA9BA4-7348-488C-9F2C-9EBFDDBF985D}"/>
    <cellStyle name="Comma 4 4 2 2 5 3" xfId="6279" xr:uid="{00000000-0005-0000-0000-0000DF090000}"/>
    <cellStyle name="Comma 4 4 2 2 5 3 2" xfId="15605" xr:uid="{672EB7CD-1750-465C-A384-BA4EE46E9FBA}"/>
    <cellStyle name="Comma 4 4 2 2 5 4" xfId="11388" xr:uid="{8F9D3DEB-D988-4FB6-9504-6288C3DAAEC9}"/>
    <cellStyle name="Comma 4 4 2 2 6" xfId="2408" xr:uid="{00000000-0005-0000-0000-0000E0090000}"/>
    <cellStyle name="Comma 4 4 2 2 6 2" xfId="6692" xr:uid="{00000000-0005-0000-0000-0000E1090000}"/>
    <cellStyle name="Comma 4 4 2 2 6 2 2" xfId="16018" xr:uid="{C7F9422E-03FB-4F6D-B2CA-2FDB031D2BFD}"/>
    <cellStyle name="Comma 4 4 2 2 6 3" xfId="11801" xr:uid="{24A4180B-5D0D-44B8-A604-CE5C4675DF90}"/>
    <cellStyle name="Comma 4 4 2 2 7" xfId="2704" xr:uid="{00000000-0005-0000-0000-0000E2090000}"/>
    <cellStyle name="Comma 4 4 2 2 8" xfId="2786" xr:uid="{00000000-0005-0000-0000-0000E3090000}"/>
    <cellStyle name="Comma 4 4 2 2 8 2" xfId="7009" xr:uid="{00000000-0005-0000-0000-0000E4090000}"/>
    <cellStyle name="Comma 4 4 2 2 8 2 2" xfId="16335" xr:uid="{6522196A-800C-46C6-823D-08D40FEF8FA8}"/>
    <cellStyle name="Comma 4 4 2 2 8 3" xfId="12118" xr:uid="{D7868D09-0205-4545-BA35-982A773534EF}"/>
    <cellStyle name="Comma 4 4 2 2 9" xfId="4626" xr:uid="{00000000-0005-0000-0000-0000E5090000}"/>
    <cellStyle name="Comma 4 4 2 2 9 2" xfId="13952" xr:uid="{20DAF681-23EF-4998-86A8-B74BADD9DBCD}"/>
    <cellStyle name="Comma 4 4 2 3" xfId="691" xr:uid="{00000000-0005-0000-0000-0000E6090000}"/>
    <cellStyle name="Comma 4 4 2 3 2" xfId="2962" xr:uid="{00000000-0005-0000-0000-0000E7090000}"/>
    <cellStyle name="Comma 4 4 2 3 2 2" xfId="7184" xr:uid="{00000000-0005-0000-0000-0000E8090000}"/>
    <cellStyle name="Comma 4 4 2 3 2 2 2" xfId="16510" xr:uid="{0CE7E9D0-12ED-4898-9626-9299096F73A7}"/>
    <cellStyle name="Comma 4 4 2 3 2 3" xfId="12293" xr:uid="{E864A0FE-15BE-4A32-B0B1-520BF34CF1F7}"/>
    <cellStyle name="Comma 4 4 2 3 3" xfId="5039" xr:uid="{00000000-0005-0000-0000-0000E9090000}"/>
    <cellStyle name="Comma 4 4 2 3 3 2" xfId="14365" xr:uid="{F9B62891-C455-4F73-A564-7E4EA31D482E}"/>
    <cellStyle name="Comma 4 4 2 3 4" xfId="9332" xr:uid="{00F59ECD-64D7-476B-90FD-CD86F054AE4D}"/>
    <cellStyle name="Comma 4 4 2 3 4 2" xfId="18647" xr:uid="{8A225B00-C882-4FE9-A7CA-1677C93271EC}"/>
    <cellStyle name="Comma 4 4 2 3 5" xfId="10148" xr:uid="{6C80A142-5B64-42EF-9ED1-D1EA4ADFD59E}"/>
    <cellStyle name="Comma 4 4 2 4" xfId="1144" xr:uid="{00000000-0005-0000-0000-0000EA090000}"/>
    <cellStyle name="Comma 4 4 2 4 2" xfId="3375" xr:uid="{00000000-0005-0000-0000-0000EB090000}"/>
    <cellStyle name="Comma 4 4 2 4 2 2" xfId="7597" xr:uid="{00000000-0005-0000-0000-0000EC090000}"/>
    <cellStyle name="Comma 4 4 2 4 2 2 2" xfId="16923" xr:uid="{2E731C96-AFA8-498E-B7E1-B98736C1EAD1}"/>
    <cellStyle name="Comma 4 4 2 4 2 3" xfId="12706" xr:uid="{6A1BA990-3DA0-42CE-B830-78DAC2D76377}"/>
    <cellStyle name="Comma 4 4 2 4 3" xfId="5452" xr:uid="{00000000-0005-0000-0000-0000ED090000}"/>
    <cellStyle name="Comma 4 4 2 4 3 2" xfId="14778" xr:uid="{B85F6F31-1C9E-4C73-9912-B761C250FC66}"/>
    <cellStyle name="Comma 4 4 2 4 4" xfId="10561" xr:uid="{6FC91576-5258-41E9-A227-E83D8DF376F0}"/>
    <cellStyle name="Comma 4 4 2 5" xfId="1558" xr:uid="{00000000-0005-0000-0000-0000EE090000}"/>
    <cellStyle name="Comma 4 4 2 5 2" xfId="3788" xr:uid="{00000000-0005-0000-0000-0000EF090000}"/>
    <cellStyle name="Comma 4 4 2 5 2 2" xfId="8010" xr:uid="{00000000-0005-0000-0000-0000F0090000}"/>
    <cellStyle name="Comma 4 4 2 5 2 2 2" xfId="17336" xr:uid="{68CE4FA0-C36C-4975-963A-A2ADCB975329}"/>
    <cellStyle name="Comma 4 4 2 5 2 3" xfId="13119" xr:uid="{4D71E2EE-C7CC-42C2-B742-1F21769F931C}"/>
    <cellStyle name="Comma 4 4 2 5 3" xfId="5865" xr:uid="{00000000-0005-0000-0000-0000F1090000}"/>
    <cellStyle name="Comma 4 4 2 5 3 2" xfId="15191" xr:uid="{125B5EC2-510F-40BD-9AC2-F22BED3C22E6}"/>
    <cellStyle name="Comma 4 4 2 5 4" xfId="10974" xr:uid="{890733AA-F6D5-42CC-9AB6-A3F234FE7BC4}"/>
    <cellStyle name="Comma 4 4 2 6" xfId="1972" xr:uid="{00000000-0005-0000-0000-0000F2090000}"/>
    <cellStyle name="Comma 4 4 2 6 2" xfId="4201" xr:uid="{00000000-0005-0000-0000-0000F3090000}"/>
    <cellStyle name="Comma 4 4 2 6 2 2" xfId="8423" xr:uid="{00000000-0005-0000-0000-0000F4090000}"/>
    <cellStyle name="Comma 4 4 2 6 2 2 2" xfId="17749" xr:uid="{FF899617-0AE8-47EA-A1F3-C01EBC6EFF5B}"/>
    <cellStyle name="Comma 4 4 2 6 2 3" xfId="13532" xr:uid="{28CBE32D-0087-4181-8B16-A24494737A79}"/>
    <cellStyle name="Comma 4 4 2 6 3" xfId="6278" xr:uid="{00000000-0005-0000-0000-0000F5090000}"/>
    <cellStyle name="Comma 4 4 2 6 3 2" xfId="15604" xr:uid="{DEDBD402-AC4B-46FE-B7FB-72C8518BD1B4}"/>
    <cellStyle name="Comma 4 4 2 6 4" xfId="11387" xr:uid="{8CE48FC7-9DDE-4FB3-A4E4-A66354A601AD}"/>
    <cellStyle name="Comma 4 4 2 7" xfId="2407" xr:uid="{00000000-0005-0000-0000-0000F6090000}"/>
    <cellStyle name="Comma 4 4 2 7 2" xfId="6691" xr:uid="{00000000-0005-0000-0000-0000F7090000}"/>
    <cellStyle name="Comma 4 4 2 7 2 2" xfId="16017" xr:uid="{762AED2F-A96A-4C84-B62B-0FF31DDBD129}"/>
    <cellStyle name="Comma 4 4 2 7 3" xfId="11800" xr:uid="{8B19AF35-3145-40F1-AC62-949ECB421177}"/>
    <cellStyle name="Comma 4 4 2 8" xfId="2703" xr:uid="{00000000-0005-0000-0000-0000F8090000}"/>
    <cellStyle name="Comma 4 4 2 9" xfId="2785" xr:uid="{00000000-0005-0000-0000-0000F9090000}"/>
    <cellStyle name="Comma 4 4 2 9 2" xfId="7008" xr:uid="{00000000-0005-0000-0000-0000FA090000}"/>
    <cellStyle name="Comma 4 4 2 9 2 2" xfId="16334" xr:uid="{76DAA47B-803F-4750-B519-C4E41E767910}"/>
    <cellStyle name="Comma 4 4 2 9 3" xfId="12117" xr:uid="{31D5FEBA-D1A5-4516-BDEB-1BBE96F5844E}"/>
    <cellStyle name="Comma 4 4 3" xfId="156" xr:uid="{00000000-0005-0000-0000-0000FB090000}"/>
    <cellStyle name="Comma 4 4 3 10" xfId="9011" xr:uid="{31ED03AD-AB12-49AF-9AD4-B783F0BF7322}"/>
    <cellStyle name="Comma 4 4 3 10 2" xfId="18335" xr:uid="{3F82A0E8-5572-41BE-846B-52958B85AD7E}"/>
    <cellStyle name="Comma 4 4 3 11" xfId="9736" xr:uid="{E349E9E8-23A0-4ECA-BE9B-4EDC67B897A7}"/>
    <cellStyle name="Comma 4 4 3 2" xfId="693" xr:uid="{00000000-0005-0000-0000-0000FC090000}"/>
    <cellStyle name="Comma 4 4 3 2 2" xfId="2964" xr:uid="{00000000-0005-0000-0000-0000FD090000}"/>
    <cellStyle name="Comma 4 4 3 2 2 2" xfId="7186" xr:uid="{00000000-0005-0000-0000-0000FE090000}"/>
    <cellStyle name="Comma 4 4 3 2 2 2 2" xfId="16512" xr:uid="{E044C3B0-4186-430F-9FE3-41ABE89983A1}"/>
    <cellStyle name="Comma 4 4 3 2 2 3" xfId="12295" xr:uid="{3AB98574-5F47-430B-AB87-D39E900FCD24}"/>
    <cellStyle name="Comma 4 4 3 2 3" xfId="5041" xr:uid="{00000000-0005-0000-0000-0000FF090000}"/>
    <cellStyle name="Comma 4 4 3 2 3 2" xfId="14367" xr:uid="{98E356E9-7E96-4435-B5E4-BE829A2E80B4}"/>
    <cellStyle name="Comma 4 4 3 2 4" xfId="9436" xr:uid="{5B7DDC25-9095-4E8E-BD31-668F46BBD33F}"/>
    <cellStyle name="Comma 4 4 3 2 4 2" xfId="18751" xr:uid="{62FBAFF3-AB25-49FE-8FE5-6ED2D796D7EB}"/>
    <cellStyle name="Comma 4 4 3 2 5" xfId="10150" xr:uid="{A28ECE26-3BE7-44F6-A01A-CAB6B7831231}"/>
    <cellStyle name="Comma 4 4 3 3" xfId="1146" xr:uid="{00000000-0005-0000-0000-0000000A0000}"/>
    <cellStyle name="Comma 4 4 3 3 2" xfId="3377" xr:uid="{00000000-0005-0000-0000-0000010A0000}"/>
    <cellStyle name="Comma 4 4 3 3 2 2" xfId="7599" xr:uid="{00000000-0005-0000-0000-0000020A0000}"/>
    <cellStyle name="Comma 4 4 3 3 2 2 2" xfId="16925" xr:uid="{8C5E186E-6C94-46A3-9473-37F98E886DA0}"/>
    <cellStyle name="Comma 4 4 3 3 2 3" xfId="12708" xr:uid="{64C56280-4B6B-43F2-9A9A-3FE4F7A3D0AA}"/>
    <cellStyle name="Comma 4 4 3 3 3" xfId="5454" xr:uid="{00000000-0005-0000-0000-0000030A0000}"/>
    <cellStyle name="Comma 4 4 3 3 3 2" xfId="14780" xr:uid="{890C0108-5DAC-49B2-BEF6-A8E287EB11DA}"/>
    <cellStyle name="Comma 4 4 3 3 4" xfId="10563" xr:uid="{DEE421FE-DF29-4925-8E2F-A761ED716F78}"/>
    <cellStyle name="Comma 4 4 3 4" xfId="1560" xr:uid="{00000000-0005-0000-0000-0000040A0000}"/>
    <cellStyle name="Comma 4 4 3 4 2" xfId="3790" xr:uid="{00000000-0005-0000-0000-0000050A0000}"/>
    <cellStyle name="Comma 4 4 3 4 2 2" xfId="8012" xr:uid="{00000000-0005-0000-0000-0000060A0000}"/>
    <cellStyle name="Comma 4 4 3 4 2 2 2" xfId="17338" xr:uid="{0EEF1678-8EDF-4848-9C63-46A0F760CAEB}"/>
    <cellStyle name="Comma 4 4 3 4 2 3" xfId="13121" xr:uid="{C6DA23B1-D341-49AC-9BC0-2BE49C22585C}"/>
    <cellStyle name="Comma 4 4 3 4 3" xfId="5867" xr:uid="{00000000-0005-0000-0000-0000070A0000}"/>
    <cellStyle name="Comma 4 4 3 4 3 2" xfId="15193" xr:uid="{A17942A0-0E54-462E-A6AE-145EF5EACE04}"/>
    <cellStyle name="Comma 4 4 3 4 4" xfId="10976" xr:uid="{F33E1331-C77E-4330-836E-B15861156701}"/>
    <cellStyle name="Comma 4 4 3 5" xfId="1974" xr:uid="{00000000-0005-0000-0000-0000080A0000}"/>
    <cellStyle name="Comma 4 4 3 5 2" xfId="4203" xr:uid="{00000000-0005-0000-0000-0000090A0000}"/>
    <cellStyle name="Comma 4 4 3 5 2 2" xfId="8425" xr:uid="{00000000-0005-0000-0000-00000A0A0000}"/>
    <cellStyle name="Comma 4 4 3 5 2 2 2" xfId="17751" xr:uid="{04D86534-9372-4B04-832A-CF06190159A8}"/>
    <cellStyle name="Comma 4 4 3 5 2 3" xfId="13534" xr:uid="{51D8EC05-3ABF-46B0-8A11-F8C7EE535ECE}"/>
    <cellStyle name="Comma 4 4 3 5 3" xfId="6280" xr:uid="{00000000-0005-0000-0000-00000B0A0000}"/>
    <cellStyle name="Comma 4 4 3 5 3 2" xfId="15606" xr:uid="{CF0667E5-48A1-4D68-88DA-145A66B9B2E3}"/>
    <cellStyle name="Comma 4 4 3 5 4" xfId="11389" xr:uid="{2D7F1BC0-19B0-4E56-9B05-B58B9AD14A2A}"/>
    <cellStyle name="Comma 4 4 3 6" xfId="2409" xr:uid="{00000000-0005-0000-0000-00000C0A0000}"/>
    <cellStyle name="Comma 4 4 3 6 2" xfId="6693" xr:uid="{00000000-0005-0000-0000-00000D0A0000}"/>
    <cellStyle name="Comma 4 4 3 6 2 2" xfId="16019" xr:uid="{E8BE2ED1-E53D-42C9-82FA-51DD7CE93C64}"/>
    <cellStyle name="Comma 4 4 3 6 3" xfId="11802" xr:uid="{456EA340-8492-4905-BB52-E99B92139A16}"/>
    <cellStyle name="Comma 4 4 3 7" xfId="2705" xr:uid="{00000000-0005-0000-0000-00000E0A0000}"/>
    <cellStyle name="Comma 4 4 3 8" xfId="2787" xr:uid="{00000000-0005-0000-0000-00000F0A0000}"/>
    <cellStyle name="Comma 4 4 3 8 2" xfId="7010" xr:uid="{00000000-0005-0000-0000-0000100A0000}"/>
    <cellStyle name="Comma 4 4 3 8 2 2" xfId="16336" xr:uid="{3B47ADEC-55B6-4862-A43A-82838C2056D1}"/>
    <cellStyle name="Comma 4 4 3 8 3" xfId="12119" xr:uid="{640632A1-511F-4072-8A70-2F1C5C3E2CAF}"/>
    <cellStyle name="Comma 4 4 3 9" xfId="4627" xr:uid="{00000000-0005-0000-0000-0000110A0000}"/>
    <cellStyle name="Comma 4 4 3 9 2" xfId="13953" xr:uid="{93C8234C-EBED-4FE7-8A51-4FCDEB1439F7}"/>
    <cellStyle name="Comma 4 4 4" xfId="690" xr:uid="{00000000-0005-0000-0000-0000120A0000}"/>
    <cellStyle name="Comma 4 4 4 2" xfId="2961" xr:uid="{00000000-0005-0000-0000-0000130A0000}"/>
    <cellStyle name="Comma 4 4 4 2 2" xfId="7183" xr:uid="{00000000-0005-0000-0000-0000140A0000}"/>
    <cellStyle name="Comma 4 4 4 2 2 2" xfId="16509" xr:uid="{4EA88E0D-AC54-450B-B6B9-403EC04B41A9}"/>
    <cellStyle name="Comma 4 4 4 2 3" xfId="12292" xr:uid="{C7F0CDE6-DD19-4C90-80F1-2AC24A3F7F8F}"/>
    <cellStyle name="Comma 4 4 4 3" xfId="5038" xr:uid="{00000000-0005-0000-0000-0000150A0000}"/>
    <cellStyle name="Comma 4 4 4 3 2" xfId="14364" xr:uid="{67FF02A8-1F02-4444-AA19-663F509E2CD8}"/>
    <cellStyle name="Comma 4 4 4 4" xfId="9229" xr:uid="{5D655A80-2199-4116-9BF2-7327D5827395}"/>
    <cellStyle name="Comma 4 4 4 4 2" xfId="18544" xr:uid="{3137AB84-5131-4D21-BB73-6136C90AA4D8}"/>
    <cellStyle name="Comma 4 4 4 5" xfId="10147" xr:uid="{C66E66FF-D99E-4064-B591-78BF4BB30819}"/>
    <cellStyle name="Comma 4 4 5" xfId="1143" xr:uid="{00000000-0005-0000-0000-0000160A0000}"/>
    <cellStyle name="Comma 4 4 5 2" xfId="3374" xr:uid="{00000000-0005-0000-0000-0000170A0000}"/>
    <cellStyle name="Comma 4 4 5 2 2" xfId="7596" xr:uid="{00000000-0005-0000-0000-0000180A0000}"/>
    <cellStyle name="Comma 4 4 5 2 2 2" xfId="16922" xr:uid="{BD9FD42A-1EFF-46FB-86D0-6A9CD5B3BF12}"/>
    <cellStyle name="Comma 4 4 5 2 3" xfId="12705" xr:uid="{02C5BD12-D948-424C-A5C9-2D9131DBC4B2}"/>
    <cellStyle name="Comma 4 4 5 3" xfId="5451" xr:uid="{00000000-0005-0000-0000-0000190A0000}"/>
    <cellStyle name="Comma 4 4 5 3 2" xfId="14777" xr:uid="{862C99D7-694E-4B06-94F3-56ADBC5CCE29}"/>
    <cellStyle name="Comma 4 4 5 4" xfId="10560" xr:uid="{031A2559-E4EA-46E0-B49D-5A876FAEB518}"/>
    <cellStyle name="Comma 4 4 6" xfId="1557" xr:uid="{00000000-0005-0000-0000-00001A0A0000}"/>
    <cellStyle name="Comma 4 4 6 2" xfId="3787" xr:uid="{00000000-0005-0000-0000-00001B0A0000}"/>
    <cellStyle name="Comma 4 4 6 2 2" xfId="8009" xr:uid="{00000000-0005-0000-0000-00001C0A0000}"/>
    <cellStyle name="Comma 4 4 6 2 2 2" xfId="17335" xr:uid="{54F5F3E8-2F5E-4822-899A-59F992A61813}"/>
    <cellStyle name="Comma 4 4 6 2 3" xfId="13118" xr:uid="{E2930E53-659C-4465-9152-7F203788FD9F}"/>
    <cellStyle name="Comma 4 4 6 3" xfId="5864" xr:uid="{00000000-0005-0000-0000-00001D0A0000}"/>
    <cellStyle name="Comma 4 4 6 3 2" xfId="15190" xr:uid="{BFEE65A8-582E-4F46-9CFC-6EEDB04AC9F9}"/>
    <cellStyle name="Comma 4 4 6 4" xfId="10973" xr:uid="{740C1870-F1EB-4CC8-A8C6-3CED91AAA7D9}"/>
    <cellStyle name="Comma 4 4 7" xfId="1971" xr:uid="{00000000-0005-0000-0000-00001E0A0000}"/>
    <cellStyle name="Comma 4 4 7 2" xfId="4200" xr:uid="{00000000-0005-0000-0000-00001F0A0000}"/>
    <cellStyle name="Comma 4 4 7 2 2" xfId="8422" xr:uid="{00000000-0005-0000-0000-0000200A0000}"/>
    <cellStyle name="Comma 4 4 7 2 2 2" xfId="17748" xr:uid="{6C6864F8-9CD6-4A3D-9214-1615639588A6}"/>
    <cellStyle name="Comma 4 4 7 2 3" xfId="13531" xr:uid="{7E5BC9F7-8EBE-4BCA-BF26-9AF7A4A03CEF}"/>
    <cellStyle name="Comma 4 4 7 3" xfId="6277" xr:uid="{00000000-0005-0000-0000-0000210A0000}"/>
    <cellStyle name="Comma 4 4 7 3 2" xfId="15603" xr:uid="{B32B429F-0A4D-49C4-A631-2BF6072C0714}"/>
    <cellStyle name="Comma 4 4 7 4" xfId="11386" xr:uid="{1817712E-DC5D-45E0-9C43-F0C2D6C23CE0}"/>
    <cellStyle name="Comma 4 4 8" xfId="2406" xr:uid="{00000000-0005-0000-0000-0000220A0000}"/>
    <cellStyle name="Comma 4 4 8 2" xfId="6690" xr:uid="{00000000-0005-0000-0000-0000230A0000}"/>
    <cellStyle name="Comma 4 4 8 2 2" xfId="16016" xr:uid="{F633DFC5-6BB5-4E36-9F92-6535A92290C8}"/>
    <cellStyle name="Comma 4 4 8 3" xfId="11799" xr:uid="{8C380E63-ACF5-450D-A09C-9580CDA09E5F}"/>
    <cellStyle name="Comma 4 4 9" xfId="2702" xr:uid="{00000000-0005-0000-0000-0000240A0000}"/>
    <cellStyle name="Comma 4 5" xfId="157" xr:uid="{00000000-0005-0000-0000-0000250A0000}"/>
    <cellStyle name="Comma 4 5 10" xfId="4628" xr:uid="{00000000-0005-0000-0000-0000260A0000}"/>
    <cellStyle name="Comma 4 5 10 2" xfId="13954" xr:uid="{675353D8-0DA0-4560-BA43-29E23E2EE5E5}"/>
    <cellStyle name="Comma 4 5 11" xfId="8849" xr:uid="{344CCE08-63E3-41E8-B38A-00347480820F}"/>
    <cellStyle name="Comma 4 5 11 2" xfId="18173" xr:uid="{837B2187-CFDB-4F7C-A17E-6A0FDB2DC9D5}"/>
    <cellStyle name="Comma 4 5 12" xfId="9737" xr:uid="{449F2C53-FBAD-470B-8FA2-73C989C8E68E}"/>
    <cellStyle name="Comma 4 5 2" xfId="158" xr:uid="{00000000-0005-0000-0000-0000270A0000}"/>
    <cellStyle name="Comma 4 5 2 10" xfId="9056" xr:uid="{C7C2153B-7EAA-4A13-9C28-1151ACD100A8}"/>
    <cellStyle name="Comma 4 5 2 10 2" xfId="18380" xr:uid="{854C586F-1C93-4626-9212-2304A2E99440}"/>
    <cellStyle name="Comma 4 5 2 11" xfId="9738" xr:uid="{C0FEEE9C-7465-465D-A616-2F4020307A60}"/>
    <cellStyle name="Comma 4 5 2 2" xfId="695" xr:uid="{00000000-0005-0000-0000-0000280A0000}"/>
    <cellStyle name="Comma 4 5 2 2 2" xfId="2966" xr:uid="{00000000-0005-0000-0000-0000290A0000}"/>
    <cellStyle name="Comma 4 5 2 2 2 2" xfId="7188" xr:uid="{00000000-0005-0000-0000-00002A0A0000}"/>
    <cellStyle name="Comma 4 5 2 2 2 2 2" xfId="16514" xr:uid="{652DF37E-25B9-47E4-8605-EB718C79CE5D}"/>
    <cellStyle name="Comma 4 5 2 2 2 3" xfId="12297" xr:uid="{8BEFEA6C-6E0E-4ECA-B8E1-C41980025EDE}"/>
    <cellStyle name="Comma 4 5 2 2 3" xfId="5043" xr:uid="{00000000-0005-0000-0000-00002B0A0000}"/>
    <cellStyle name="Comma 4 5 2 2 3 2" xfId="14369" xr:uid="{2E65CEAB-9CBC-4D5F-9F44-703A3D76F75C}"/>
    <cellStyle name="Comma 4 5 2 2 4" xfId="9481" xr:uid="{47C88F6D-21B1-4457-908C-FFAB8FF83BD1}"/>
    <cellStyle name="Comma 4 5 2 2 4 2" xfId="18796" xr:uid="{0F123A3A-D1D6-4E22-AA34-09279D8CE636}"/>
    <cellStyle name="Comma 4 5 2 2 5" xfId="10152" xr:uid="{F08D0AAC-613F-4769-BCB0-B500D57B4335}"/>
    <cellStyle name="Comma 4 5 2 3" xfId="1148" xr:uid="{00000000-0005-0000-0000-00002C0A0000}"/>
    <cellStyle name="Comma 4 5 2 3 2" xfId="3379" xr:uid="{00000000-0005-0000-0000-00002D0A0000}"/>
    <cellStyle name="Comma 4 5 2 3 2 2" xfId="7601" xr:uid="{00000000-0005-0000-0000-00002E0A0000}"/>
    <cellStyle name="Comma 4 5 2 3 2 2 2" xfId="16927" xr:uid="{49E397EA-5E9D-425A-9267-5325FC7EEABC}"/>
    <cellStyle name="Comma 4 5 2 3 2 3" xfId="12710" xr:uid="{AF4A96DF-115E-4216-B03A-261986FBD423}"/>
    <cellStyle name="Comma 4 5 2 3 3" xfId="5456" xr:uid="{00000000-0005-0000-0000-00002F0A0000}"/>
    <cellStyle name="Comma 4 5 2 3 3 2" xfId="14782" xr:uid="{09A9CB79-987D-42F2-A807-8CD3F04D856D}"/>
    <cellStyle name="Comma 4 5 2 3 4" xfId="10565" xr:uid="{5F5A8122-73F6-4893-A056-542B4D6F3768}"/>
    <cellStyle name="Comma 4 5 2 4" xfId="1562" xr:uid="{00000000-0005-0000-0000-0000300A0000}"/>
    <cellStyle name="Comma 4 5 2 4 2" xfId="3792" xr:uid="{00000000-0005-0000-0000-0000310A0000}"/>
    <cellStyle name="Comma 4 5 2 4 2 2" xfId="8014" xr:uid="{00000000-0005-0000-0000-0000320A0000}"/>
    <cellStyle name="Comma 4 5 2 4 2 2 2" xfId="17340" xr:uid="{7E2FB381-B1E9-4178-B22B-D6ABB767FDE8}"/>
    <cellStyle name="Comma 4 5 2 4 2 3" xfId="13123" xr:uid="{0BECC19D-9DBD-4456-B400-379A0D3B91E4}"/>
    <cellStyle name="Comma 4 5 2 4 3" xfId="5869" xr:uid="{00000000-0005-0000-0000-0000330A0000}"/>
    <cellStyle name="Comma 4 5 2 4 3 2" xfId="15195" xr:uid="{23A3B8BD-D2DA-46C8-AC9D-B057A252D153}"/>
    <cellStyle name="Comma 4 5 2 4 4" xfId="10978" xr:uid="{3B39F8C4-3A00-40F4-BAC7-589794BE594B}"/>
    <cellStyle name="Comma 4 5 2 5" xfId="1976" xr:uid="{00000000-0005-0000-0000-0000340A0000}"/>
    <cellStyle name="Comma 4 5 2 5 2" xfId="4205" xr:uid="{00000000-0005-0000-0000-0000350A0000}"/>
    <cellStyle name="Comma 4 5 2 5 2 2" xfId="8427" xr:uid="{00000000-0005-0000-0000-0000360A0000}"/>
    <cellStyle name="Comma 4 5 2 5 2 2 2" xfId="17753" xr:uid="{E068E027-12CA-46A8-B8FE-2A93B2151B0E}"/>
    <cellStyle name="Comma 4 5 2 5 2 3" xfId="13536" xr:uid="{4A9CE4DC-93D5-4A1C-A37E-7A43DA0E37FF}"/>
    <cellStyle name="Comma 4 5 2 5 3" xfId="6282" xr:uid="{00000000-0005-0000-0000-0000370A0000}"/>
    <cellStyle name="Comma 4 5 2 5 3 2" xfId="15608" xr:uid="{888C1C2D-15A8-4810-82DD-7E8A62055D8F}"/>
    <cellStyle name="Comma 4 5 2 5 4" xfId="11391" xr:uid="{46C08A3A-394A-4DE9-B718-FAE775ABB857}"/>
    <cellStyle name="Comma 4 5 2 6" xfId="2411" xr:uid="{00000000-0005-0000-0000-0000380A0000}"/>
    <cellStyle name="Comma 4 5 2 6 2" xfId="6695" xr:uid="{00000000-0005-0000-0000-0000390A0000}"/>
    <cellStyle name="Comma 4 5 2 6 2 2" xfId="16021" xr:uid="{D702F898-8981-4A07-BC77-43EDA323D98A}"/>
    <cellStyle name="Comma 4 5 2 6 3" xfId="11804" xr:uid="{5471E8B2-DBF5-4AB6-8DB7-CFBF9D55EC3E}"/>
    <cellStyle name="Comma 4 5 2 7" xfId="2707" xr:uid="{00000000-0005-0000-0000-00003A0A0000}"/>
    <cellStyle name="Comma 4 5 2 8" xfId="2789" xr:uid="{00000000-0005-0000-0000-00003B0A0000}"/>
    <cellStyle name="Comma 4 5 2 8 2" xfId="7012" xr:uid="{00000000-0005-0000-0000-00003C0A0000}"/>
    <cellStyle name="Comma 4 5 2 8 2 2" xfId="16338" xr:uid="{E76CE72E-2E0A-47CA-A79F-50F2C1493F8C}"/>
    <cellStyle name="Comma 4 5 2 8 3" xfId="12121" xr:uid="{2ACA9EB9-B2F7-428E-A088-9DEEA7F78D4A}"/>
    <cellStyle name="Comma 4 5 2 9" xfId="4629" xr:uid="{00000000-0005-0000-0000-00003D0A0000}"/>
    <cellStyle name="Comma 4 5 2 9 2" xfId="13955" xr:uid="{F71862D2-26A0-43D2-8B53-B87EE68142B2}"/>
    <cellStyle name="Comma 4 5 3" xfId="694" xr:uid="{00000000-0005-0000-0000-00003E0A0000}"/>
    <cellStyle name="Comma 4 5 3 2" xfId="2965" xr:uid="{00000000-0005-0000-0000-00003F0A0000}"/>
    <cellStyle name="Comma 4 5 3 2 2" xfId="7187" xr:uid="{00000000-0005-0000-0000-0000400A0000}"/>
    <cellStyle name="Comma 4 5 3 2 2 2" xfId="16513" xr:uid="{F4B963FD-06B9-4E58-B340-301EA3E9B41C}"/>
    <cellStyle name="Comma 4 5 3 2 3" xfId="12296" xr:uid="{D0F7F95B-C06C-45C6-8A48-74AF5D2B94B9}"/>
    <cellStyle name="Comma 4 5 3 3" xfId="5042" xr:uid="{00000000-0005-0000-0000-0000410A0000}"/>
    <cellStyle name="Comma 4 5 3 3 2" xfId="14368" xr:uid="{CADCB66B-E08F-4096-8696-2220EEC57E9B}"/>
    <cellStyle name="Comma 4 5 3 4" xfId="9274" xr:uid="{04AC3EF2-4A78-4DC5-BAB4-87936023C7E5}"/>
    <cellStyle name="Comma 4 5 3 4 2" xfId="18589" xr:uid="{5640DE5B-51D9-4CCC-AABD-635415D9C367}"/>
    <cellStyle name="Comma 4 5 3 5" xfId="10151" xr:uid="{3EF42C2E-536E-4300-86B5-70C8082CD7D5}"/>
    <cellStyle name="Comma 4 5 4" xfId="1147" xr:uid="{00000000-0005-0000-0000-0000420A0000}"/>
    <cellStyle name="Comma 4 5 4 2" xfId="3378" xr:uid="{00000000-0005-0000-0000-0000430A0000}"/>
    <cellStyle name="Comma 4 5 4 2 2" xfId="7600" xr:uid="{00000000-0005-0000-0000-0000440A0000}"/>
    <cellStyle name="Comma 4 5 4 2 2 2" xfId="16926" xr:uid="{D3839EBB-19BD-4E12-870C-53F965CAB445}"/>
    <cellStyle name="Comma 4 5 4 2 3" xfId="12709" xr:uid="{145A7BE4-49A1-4FB0-A477-8D5DF873B0F5}"/>
    <cellStyle name="Comma 4 5 4 3" xfId="5455" xr:uid="{00000000-0005-0000-0000-0000450A0000}"/>
    <cellStyle name="Comma 4 5 4 3 2" xfId="14781" xr:uid="{8721C14B-E0E2-475E-9458-15DBA6EEE971}"/>
    <cellStyle name="Comma 4 5 4 4" xfId="10564" xr:uid="{EEF04090-21AD-491D-AB18-19AE32E2660F}"/>
    <cellStyle name="Comma 4 5 5" xfId="1561" xr:uid="{00000000-0005-0000-0000-0000460A0000}"/>
    <cellStyle name="Comma 4 5 5 2" xfId="3791" xr:uid="{00000000-0005-0000-0000-0000470A0000}"/>
    <cellStyle name="Comma 4 5 5 2 2" xfId="8013" xr:uid="{00000000-0005-0000-0000-0000480A0000}"/>
    <cellStyle name="Comma 4 5 5 2 2 2" xfId="17339" xr:uid="{31C35745-70C3-4B1E-AD39-6C61C5D49BAB}"/>
    <cellStyle name="Comma 4 5 5 2 3" xfId="13122" xr:uid="{AA55F925-CC1D-4CF8-902B-A671D493C1C1}"/>
    <cellStyle name="Comma 4 5 5 3" xfId="5868" xr:uid="{00000000-0005-0000-0000-0000490A0000}"/>
    <cellStyle name="Comma 4 5 5 3 2" xfId="15194" xr:uid="{081F4327-9AF6-4730-8071-642A4C8A2BD2}"/>
    <cellStyle name="Comma 4 5 5 4" xfId="10977" xr:uid="{A4364CBC-C041-4A80-9A5E-047CEFD0C4D2}"/>
    <cellStyle name="Comma 4 5 6" xfId="1975" xr:uid="{00000000-0005-0000-0000-00004A0A0000}"/>
    <cellStyle name="Comma 4 5 6 2" xfId="4204" xr:uid="{00000000-0005-0000-0000-00004B0A0000}"/>
    <cellStyle name="Comma 4 5 6 2 2" xfId="8426" xr:uid="{00000000-0005-0000-0000-00004C0A0000}"/>
    <cellStyle name="Comma 4 5 6 2 2 2" xfId="17752" xr:uid="{FD9BF9B2-996B-44BA-873D-06973BD4AB4B}"/>
    <cellStyle name="Comma 4 5 6 2 3" xfId="13535" xr:uid="{B18E371C-6616-410F-8AF8-2CCDEE1C1B74}"/>
    <cellStyle name="Comma 4 5 6 3" xfId="6281" xr:uid="{00000000-0005-0000-0000-00004D0A0000}"/>
    <cellStyle name="Comma 4 5 6 3 2" xfId="15607" xr:uid="{0AF56673-D2DA-4828-92C1-2573190F1F09}"/>
    <cellStyle name="Comma 4 5 6 4" xfId="11390" xr:uid="{D4D1BBED-6871-4972-A2A2-3DACBDD31B12}"/>
    <cellStyle name="Comma 4 5 7" xfId="2410" xr:uid="{00000000-0005-0000-0000-00004E0A0000}"/>
    <cellStyle name="Comma 4 5 7 2" xfId="6694" xr:uid="{00000000-0005-0000-0000-00004F0A0000}"/>
    <cellStyle name="Comma 4 5 7 2 2" xfId="16020" xr:uid="{6520835D-073C-46CA-9E6A-55998D3062CE}"/>
    <cellStyle name="Comma 4 5 7 3" xfId="11803" xr:uid="{4E3464EF-A263-4872-B7DE-BE7F1E807279}"/>
    <cellStyle name="Comma 4 5 8" xfId="2706" xr:uid="{00000000-0005-0000-0000-0000500A0000}"/>
    <cellStyle name="Comma 4 5 9" xfId="2788" xr:uid="{00000000-0005-0000-0000-0000510A0000}"/>
    <cellStyle name="Comma 4 5 9 2" xfId="7011" xr:uid="{00000000-0005-0000-0000-0000520A0000}"/>
    <cellStyle name="Comma 4 5 9 2 2" xfId="16337" xr:uid="{0BBB34DE-3D18-495D-9B22-CB9A8FA1985E}"/>
    <cellStyle name="Comma 4 5 9 3" xfId="12120" xr:uid="{5CFD3BF9-D738-4A6C-AC4C-9F763868AFF7}"/>
    <cellStyle name="Comma 4 6" xfId="159" xr:uid="{00000000-0005-0000-0000-0000530A0000}"/>
    <cellStyle name="Comma 4 6 10" xfId="8965" xr:uid="{FDA33E7D-96B8-46F2-87D8-5CB6C30A4CC6}"/>
    <cellStyle name="Comma 4 6 10 2" xfId="18289" xr:uid="{9B56E1B7-234D-41D1-8E4F-27970DEC4BF1}"/>
    <cellStyle name="Comma 4 6 11" xfId="9739" xr:uid="{B6AA88FF-B0B1-473A-9EC1-922EEBFCC5AB}"/>
    <cellStyle name="Comma 4 6 2" xfId="696" xr:uid="{00000000-0005-0000-0000-0000540A0000}"/>
    <cellStyle name="Comma 4 6 2 2" xfId="2967" xr:uid="{00000000-0005-0000-0000-0000550A0000}"/>
    <cellStyle name="Comma 4 6 2 2 2" xfId="7189" xr:uid="{00000000-0005-0000-0000-0000560A0000}"/>
    <cellStyle name="Comma 4 6 2 2 2 2" xfId="16515" xr:uid="{25B13EB2-3F24-4746-B2FC-807456A5CD05}"/>
    <cellStyle name="Comma 4 6 2 2 3" xfId="12298" xr:uid="{2118BD26-5B9B-4B56-B401-DFA70135DEC3}"/>
    <cellStyle name="Comma 4 6 2 3" xfId="5044" xr:uid="{00000000-0005-0000-0000-0000570A0000}"/>
    <cellStyle name="Comma 4 6 2 3 2" xfId="14370" xr:uid="{6B2C8DE9-50B1-43BF-87E8-DB48BA31BECD}"/>
    <cellStyle name="Comma 4 6 2 4" xfId="9390" xr:uid="{F8012948-A58F-476A-B4CF-A63C8F36D5B6}"/>
    <cellStyle name="Comma 4 6 2 4 2" xfId="18705" xr:uid="{707D9AA6-1787-4792-A1F4-82C5E7D09930}"/>
    <cellStyle name="Comma 4 6 2 5" xfId="10153" xr:uid="{20C59D68-7C3C-46DF-A33D-48DEB927B998}"/>
    <cellStyle name="Comma 4 6 3" xfId="1149" xr:uid="{00000000-0005-0000-0000-0000580A0000}"/>
    <cellStyle name="Comma 4 6 3 2" xfId="3380" xr:uid="{00000000-0005-0000-0000-0000590A0000}"/>
    <cellStyle name="Comma 4 6 3 2 2" xfId="7602" xr:uid="{00000000-0005-0000-0000-00005A0A0000}"/>
    <cellStyle name="Comma 4 6 3 2 2 2" xfId="16928" xr:uid="{213A1614-4D5E-44DA-A544-CC8A8EC3965F}"/>
    <cellStyle name="Comma 4 6 3 2 3" xfId="12711" xr:uid="{C38840F7-0B05-42A3-AEED-56DBB715F0AA}"/>
    <cellStyle name="Comma 4 6 3 3" xfId="5457" xr:uid="{00000000-0005-0000-0000-00005B0A0000}"/>
    <cellStyle name="Comma 4 6 3 3 2" xfId="14783" xr:uid="{EFCCB07D-B45D-4B3B-88CE-A9AF0EFF9081}"/>
    <cellStyle name="Comma 4 6 3 4" xfId="10566" xr:uid="{A478FBDD-BADC-46CF-B752-87D203A4D13D}"/>
    <cellStyle name="Comma 4 6 4" xfId="1563" xr:uid="{00000000-0005-0000-0000-00005C0A0000}"/>
    <cellStyle name="Comma 4 6 4 2" xfId="3793" xr:uid="{00000000-0005-0000-0000-00005D0A0000}"/>
    <cellStyle name="Comma 4 6 4 2 2" xfId="8015" xr:uid="{00000000-0005-0000-0000-00005E0A0000}"/>
    <cellStyle name="Comma 4 6 4 2 2 2" xfId="17341" xr:uid="{F4D9C5D4-380A-4CF6-BE8C-DCDCFCFA69EB}"/>
    <cellStyle name="Comma 4 6 4 2 3" xfId="13124" xr:uid="{F5400CC9-4E64-41BC-BABF-52E0D05BAF89}"/>
    <cellStyle name="Comma 4 6 4 3" xfId="5870" xr:uid="{00000000-0005-0000-0000-00005F0A0000}"/>
    <cellStyle name="Comma 4 6 4 3 2" xfId="15196" xr:uid="{74DADF80-BD23-4750-9C73-78AF0AA2897F}"/>
    <cellStyle name="Comma 4 6 4 4" xfId="10979" xr:uid="{4FA370A6-4DBD-46D0-A03B-39D600B644F0}"/>
    <cellStyle name="Comma 4 6 5" xfId="1977" xr:uid="{00000000-0005-0000-0000-0000600A0000}"/>
    <cellStyle name="Comma 4 6 5 2" xfId="4206" xr:uid="{00000000-0005-0000-0000-0000610A0000}"/>
    <cellStyle name="Comma 4 6 5 2 2" xfId="8428" xr:uid="{00000000-0005-0000-0000-0000620A0000}"/>
    <cellStyle name="Comma 4 6 5 2 2 2" xfId="17754" xr:uid="{A4C533CB-18A9-430D-91D8-9CE2D62531F1}"/>
    <cellStyle name="Comma 4 6 5 2 3" xfId="13537" xr:uid="{F7498D91-1108-46DC-A043-C21DD6AD3F8C}"/>
    <cellStyle name="Comma 4 6 5 3" xfId="6283" xr:uid="{00000000-0005-0000-0000-0000630A0000}"/>
    <cellStyle name="Comma 4 6 5 3 2" xfId="15609" xr:uid="{FB3AA937-18C3-42DA-9761-0637F9DEAD03}"/>
    <cellStyle name="Comma 4 6 5 4" xfId="11392" xr:uid="{F83535B1-67AF-49FE-BCD9-4AFCC8FFAF44}"/>
    <cellStyle name="Comma 4 6 6" xfId="2412" xr:uid="{00000000-0005-0000-0000-0000640A0000}"/>
    <cellStyle name="Comma 4 6 6 2" xfId="6696" xr:uid="{00000000-0005-0000-0000-0000650A0000}"/>
    <cellStyle name="Comma 4 6 6 2 2" xfId="16022" xr:uid="{AC60C821-2FCB-4A23-8DB6-DF43C3EA8E31}"/>
    <cellStyle name="Comma 4 6 6 3" xfId="11805" xr:uid="{1034B0E3-E816-4C46-A8D0-4A27D2BD9B3E}"/>
    <cellStyle name="Comma 4 6 7" xfId="2708" xr:uid="{00000000-0005-0000-0000-0000660A0000}"/>
    <cellStyle name="Comma 4 6 8" xfId="2790" xr:uid="{00000000-0005-0000-0000-0000670A0000}"/>
    <cellStyle name="Comma 4 6 8 2" xfId="7013" xr:uid="{00000000-0005-0000-0000-0000680A0000}"/>
    <cellStyle name="Comma 4 6 8 2 2" xfId="16339" xr:uid="{2ED1C2C3-1095-4693-ACFB-EE0297BFF5B1}"/>
    <cellStyle name="Comma 4 6 8 3" xfId="12122" xr:uid="{BC8EC2A3-3196-4047-A000-368ECD5F817B}"/>
    <cellStyle name="Comma 4 6 9" xfId="4630" xr:uid="{00000000-0005-0000-0000-0000690A0000}"/>
    <cellStyle name="Comma 4 6 9 2" xfId="13956" xr:uid="{252C3492-0C44-4CF8-BE41-FE6B1D075276}"/>
    <cellStyle name="Comma 4 7" xfId="160" xr:uid="{00000000-0005-0000-0000-00006A0A0000}"/>
    <cellStyle name="Comma 4 7 10" xfId="9168" xr:uid="{C5EF0C72-87BD-43A9-8A23-92F9D9423F50}"/>
    <cellStyle name="Comma 4 7 10 2" xfId="18486" xr:uid="{7B7FF348-9025-4ED9-AF81-F6F5F32263F6}"/>
    <cellStyle name="Comma 4 7 11" xfId="9740" xr:uid="{F24C8CE1-19E6-42AA-BFFF-45C243B9C5BC}"/>
    <cellStyle name="Comma 4 7 2" xfId="697" xr:uid="{00000000-0005-0000-0000-00006B0A0000}"/>
    <cellStyle name="Comma 4 7 2 2" xfId="2968" xr:uid="{00000000-0005-0000-0000-00006C0A0000}"/>
    <cellStyle name="Comma 4 7 2 2 2" xfId="7190" xr:uid="{00000000-0005-0000-0000-00006D0A0000}"/>
    <cellStyle name="Comma 4 7 2 2 2 2" xfId="16516" xr:uid="{8AB6FEDD-E4A4-4418-828D-551BB27ED774}"/>
    <cellStyle name="Comma 4 7 2 2 3" xfId="12299" xr:uid="{E1390CA2-C1FA-474B-B19A-C8862F2DC5DD}"/>
    <cellStyle name="Comma 4 7 2 3" xfId="5045" xr:uid="{00000000-0005-0000-0000-00006E0A0000}"/>
    <cellStyle name="Comma 4 7 2 3 2" xfId="14371" xr:uid="{C5F232AD-0335-4958-97FF-4A2639AAF2F0}"/>
    <cellStyle name="Comma 4 7 2 4" xfId="9596" xr:uid="{F4A1C070-02C1-4F2A-89F2-15465D9BEBB2}"/>
    <cellStyle name="Comma 4 7 2 4 2" xfId="18900" xr:uid="{958C6EC2-3B80-4CDD-B21C-F15F14660859}"/>
    <cellStyle name="Comma 4 7 2 5" xfId="10154" xr:uid="{350B5055-E6FD-493F-83F4-B0545B0A3792}"/>
    <cellStyle name="Comma 4 7 3" xfId="1150" xr:uid="{00000000-0005-0000-0000-00006F0A0000}"/>
    <cellStyle name="Comma 4 7 3 2" xfId="3381" xr:uid="{00000000-0005-0000-0000-0000700A0000}"/>
    <cellStyle name="Comma 4 7 3 2 2" xfId="7603" xr:uid="{00000000-0005-0000-0000-0000710A0000}"/>
    <cellStyle name="Comma 4 7 3 2 2 2" xfId="16929" xr:uid="{EBCF0B05-93C3-4148-B079-9B3783567356}"/>
    <cellStyle name="Comma 4 7 3 2 3" xfId="12712" xr:uid="{A0DCA86B-4827-453A-AD50-369B3D0403A5}"/>
    <cellStyle name="Comma 4 7 3 3" xfId="5458" xr:uid="{00000000-0005-0000-0000-0000720A0000}"/>
    <cellStyle name="Comma 4 7 3 3 2" xfId="14784" xr:uid="{D5980BB5-8A1D-4A42-A465-1B94BC9DEBE8}"/>
    <cellStyle name="Comma 4 7 3 4" xfId="10567" xr:uid="{8E8A2E13-1B1B-4C7A-A737-7F108310C9D8}"/>
    <cellStyle name="Comma 4 7 4" xfId="1564" xr:uid="{00000000-0005-0000-0000-0000730A0000}"/>
    <cellStyle name="Comma 4 7 4 2" xfId="3794" xr:uid="{00000000-0005-0000-0000-0000740A0000}"/>
    <cellStyle name="Comma 4 7 4 2 2" xfId="8016" xr:uid="{00000000-0005-0000-0000-0000750A0000}"/>
    <cellStyle name="Comma 4 7 4 2 2 2" xfId="17342" xr:uid="{D5884263-3718-4E7A-80AB-72A1696562F4}"/>
    <cellStyle name="Comma 4 7 4 2 3" xfId="13125" xr:uid="{F8AF8807-AB78-43C7-9547-CAD8BDEE3FA9}"/>
    <cellStyle name="Comma 4 7 4 3" xfId="5871" xr:uid="{00000000-0005-0000-0000-0000760A0000}"/>
    <cellStyle name="Comma 4 7 4 3 2" xfId="15197" xr:uid="{A6A4EA3B-A60F-4CB5-A22E-E5A05BF53F39}"/>
    <cellStyle name="Comma 4 7 4 4" xfId="10980" xr:uid="{807035A4-2B10-4687-B38B-0AC2785EEDFF}"/>
    <cellStyle name="Comma 4 7 5" xfId="1978" xr:uid="{00000000-0005-0000-0000-0000770A0000}"/>
    <cellStyle name="Comma 4 7 5 2" xfId="4207" xr:uid="{00000000-0005-0000-0000-0000780A0000}"/>
    <cellStyle name="Comma 4 7 5 2 2" xfId="8429" xr:uid="{00000000-0005-0000-0000-0000790A0000}"/>
    <cellStyle name="Comma 4 7 5 2 2 2" xfId="17755" xr:uid="{979F4505-C03A-4CF2-8016-6F4340832C62}"/>
    <cellStyle name="Comma 4 7 5 2 3" xfId="13538" xr:uid="{5DDC49EC-C455-4A3A-A684-84278EDF4260}"/>
    <cellStyle name="Comma 4 7 5 3" xfId="6284" xr:uid="{00000000-0005-0000-0000-00007A0A0000}"/>
    <cellStyle name="Comma 4 7 5 3 2" xfId="15610" xr:uid="{C24C8874-C8A2-4F3F-92D1-DADAE8400BA6}"/>
    <cellStyle name="Comma 4 7 5 4" xfId="11393" xr:uid="{9DA13AA1-C99D-4786-AE9A-499C673B540D}"/>
    <cellStyle name="Comma 4 7 6" xfId="2413" xr:uid="{00000000-0005-0000-0000-00007B0A0000}"/>
    <cellStyle name="Comma 4 7 6 2" xfId="6697" xr:uid="{00000000-0005-0000-0000-00007C0A0000}"/>
    <cellStyle name="Comma 4 7 6 2 2" xfId="16023" xr:uid="{71F67CE3-908B-4627-B905-D229EBD32B4F}"/>
    <cellStyle name="Comma 4 7 6 3" xfId="11806" xr:uid="{8FD1B673-F958-41CA-9F68-A0A41517DFC6}"/>
    <cellStyle name="Comma 4 7 7" xfId="2709" xr:uid="{00000000-0005-0000-0000-00007D0A0000}"/>
    <cellStyle name="Comma 4 7 8" xfId="2791" xr:uid="{00000000-0005-0000-0000-00007E0A0000}"/>
    <cellStyle name="Comma 4 7 8 2" xfId="7014" xr:uid="{00000000-0005-0000-0000-00007F0A0000}"/>
    <cellStyle name="Comma 4 7 8 2 2" xfId="16340" xr:uid="{F729C929-00FA-4DBD-8B21-C3BDA6BD252B}"/>
    <cellStyle name="Comma 4 7 8 3" xfId="12123" xr:uid="{53EF2CD8-04BB-4D2B-BAC5-026FE9634230}"/>
    <cellStyle name="Comma 4 7 9" xfId="4631" xr:uid="{00000000-0005-0000-0000-0000800A0000}"/>
    <cellStyle name="Comma 4 7 9 2" xfId="13957" xr:uid="{E4E6A9C6-95EA-4104-B2AD-5DE56A440E6A}"/>
    <cellStyle name="Comma 4 8" xfId="9193" xr:uid="{D2F7B7D5-1187-4B94-96D8-1D61B28E4E34}"/>
    <cellStyle name="Comma 4 9" xfId="8746" xr:uid="{EB6F8E1D-15EE-4A1C-A7FF-36C2A43F5A26}"/>
    <cellStyle name="Comma 4 9 2" xfId="18070" xr:uid="{31B0D9F6-6519-4636-820D-B39EB3DFE617}"/>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2 2" xfId="18895" xr:uid="{102EB23A-477C-482E-AFB2-74C06CCA20DC}"/>
    <cellStyle name="Comma 7 3" xfId="9589" xr:uid="{E5FB568C-33F4-49EE-BE6E-4022B43BCBB9}"/>
    <cellStyle name="Comma 7 4" xfId="13825" xr:uid="{1F93C26A-43D2-4EFE-A2A9-37D2E4E81083}"/>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2 2" xfId="18042" xr:uid="{2E0D2B20-5C3B-4C48-A175-07BF4C92C52C}"/>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14 3 2 2 2 2 2 2" xfId="18061" xr:uid="{6A30B01D-F054-40AF-89AE-25D6E4E121F8}"/>
    <cellStyle name="Currency 14 3 2 2 2 2 3" xfId="18058" xr:uid="{76DD4B07-F167-4178-B8D7-A6D0ABDCA56D}"/>
    <cellStyle name="Currency 14 3 2 2 2 3" xfId="18055" xr:uid="{E8790804-8914-4DA0-BAE2-25F488D23752}"/>
    <cellStyle name="Currency 14 3 2 2 3" xfId="18051" xr:uid="{82E01F83-A362-4CC1-8A92-7F393E9FE80B}"/>
    <cellStyle name="Currency 14 3 2 3" xfId="18048" xr:uid="{7CBEE256-B005-4763-920B-E8CD93CE1EB5}"/>
    <cellStyle name="Currency 14 3 3" xfId="18045" xr:uid="{02EB9373-772F-495C-A446-460F5B314E14}"/>
    <cellStyle name="Currency 14 4" xfId="13828" xr:uid="{8EBE9C62-5552-420D-AABD-5E5644EB5FE2}"/>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0 2 2" xfId="16341" xr:uid="{B5A6E412-29AA-4566-B450-900B43B31A13}"/>
    <cellStyle name="Currency 3 2 2 10 3" xfId="12124" xr:uid="{D636B6C5-50E6-4C39-8FFD-D302FCE40F0B}"/>
    <cellStyle name="Currency 3 2 2 11" xfId="4632" xr:uid="{00000000-0005-0000-0000-0000A50A0000}"/>
    <cellStyle name="Currency 3 2 2 11 2" xfId="13958" xr:uid="{5716EEB5-CF72-498A-AA09-4ACCF7923CD2}"/>
    <cellStyle name="Currency 3 2 2 12" xfId="8808" xr:uid="{5CD24693-181E-456A-9199-DC057509AC96}"/>
    <cellStyle name="Currency 3 2 2 12 2" xfId="18132" xr:uid="{67D649A0-0479-4EF0-9BAE-FBED99706D26}"/>
    <cellStyle name="Currency 3 2 2 13" xfId="9741" xr:uid="{0EFC26A8-9AE3-4A1F-BF31-44AD04EE0C77}"/>
    <cellStyle name="Currency 3 2 2 2" xfId="179" xr:uid="{00000000-0005-0000-0000-0000A60A0000}"/>
    <cellStyle name="Currency 3 2 2 2 10" xfId="4633" xr:uid="{00000000-0005-0000-0000-0000A70A0000}"/>
    <cellStyle name="Currency 3 2 2 2 10 2" xfId="13959" xr:uid="{3C8207B9-E47D-4766-BE39-B9540350AEFA}"/>
    <cellStyle name="Currency 3 2 2 2 11" xfId="8911" xr:uid="{177A45F7-B130-49DA-829A-AA3BF41B848C}"/>
    <cellStyle name="Currency 3 2 2 2 11 2" xfId="18235" xr:uid="{6E492107-8643-44F8-82DC-2F9A8B4F8CBC}"/>
    <cellStyle name="Currency 3 2 2 2 12" xfId="9742" xr:uid="{E1B4F31B-DA18-4061-9692-B3ECE6BA48E6}"/>
    <cellStyle name="Currency 3 2 2 2 2" xfId="180" xr:uid="{00000000-0005-0000-0000-0000A80A0000}"/>
    <cellStyle name="Currency 3 2 2 2 2 10" xfId="9118" xr:uid="{4DDBDF88-B997-49F5-AF34-322CC93508E5}"/>
    <cellStyle name="Currency 3 2 2 2 2 10 2" xfId="18442" xr:uid="{91901100-EB82-472A-B77F-63C5EBF03ED0}"/>
    <cellStyle name="Currency 3 2 2 2 2 11" xfId="9743" xr:uid="{41FEBB0E-EC98-44FD-A10F-E636D27C8DCD}"/>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2 2 2" xfId="16519" xr:uid="{E1D6E7A8-A122-4752-80E7-997772DB420D}"/>
    <cellStyle name="Currency 3 2 2 2 2 2 2 3" xfId="12302" xr:uid="{9666911A-9844-4989-B349-6BDA0A89E56F}"/>
    <cellStyle name="Currency 3 2 2 2 2 2 3" xfId="5048" xr:uid="{00000000-0005-0000-0000-0000AC0A0000}"/>
    <cellStyle name="Currency 3 2 2 2 2 2 3 2" xfId="14374" xr:uid="{25F8FC6E-68C9-46CB-81AE-E9268F5FE3D4}"/>
    <cellStyle name="Currency 3 2 2 2 2 2 4" xfId="9543" xr:uid="{08990697-BAC1-4B06-A86B-C554A35267E6}"/>
    <cellStyle name="Currency 3 2 2 2 2 2 4 2" xfId="18858" xr:uid="{35B5DC79-8EEE-4EBF-BC3B-8CE01C493C7D}"/>
    <cellStyle name="Currency 3 2 2 2 2 2 5" xfId="10157" xr:uid="{9084E257-7E11-476F-9CAF-0F00D6F4189F}"/>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2 2 2" xfId="16932" xr:uid="{65D2C9AA-60A4-47E7-AE9A-006B96B6E1C4}"/>
    <cellStyle name="Currency 3 2 2 2 2 3 2 3" xfId="12715" xr:uid="{A51BECAD-52A8-4ED1-A2AA-F402F5BC5928}"/>
    <cellStyle name="Currency 3 2 2 2 2 3 3" xfId="5461" xr:uid="{00000000-0005-0000-0000-0000B00A0000}"/>
    <cellStyle name="Currency 3 2 2 2 2 3 3 2" xfId="14787" xr:uid="{94713E82-5135-4B24-9929-C61BDA3BAD0A}"/>
    <cellStyle name="Currency 3 2 2 2 2 3 4" xfId="10570" xr:uid="{7905A95C-137D-457D-9C96-91D5A43FA611}"/>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2 2 2" xfId="17345" xr:uid="{E8216D4A-35C6-4FCD-857C-ECB4B6EEFE35}"/>
    <cellStyle name="Currency 3 2 2 2 2 4 2 3" xfId="13128" xr:uid="{8D8F7018-4DC9-4865-AEEF-FC92FD83F3EF}"/>
    <cellStyle name="Currency 3 2 2 2 2 4 3" xfId="5874" xr:uid="{00000000-0005-0000-0000-0000B40A0000}"/>
    <cellStyle name="Currency 3 2 2 2 2 4 3 2" xfId="15200" xr:uid="{405D2DD6-4BB3-4A24-8D1D-CE2AFF579CF6}"/>
    <cellStyle name="Currency 3 2 2 2 2 4 4" xfId="10983" xr:uid="{A598A6AC-2ACB-4191-AEBB-DDAEC8B85FDB}"/>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2 2 2" xfId="17758" xr:uid="{CE2698FC-4B57-4BF3-A054-0645269E2BA0}"/>
    <cellStyle name="Currency 3 2 2 2 2 5 2 3" xfId="13541" xr:uid="{C2C41D6C-0EAC-45F9-A503-8F5A943E0E67}"/>
    <cellStyle name="Currency 3 2 2 2 2 5 3" xfId="6287" xr:uid="{00000000-0005-0000-0000-0000B80A0000}"/>
    <cellStyle name="Currency 3 2 2 2 2 5 3 2" xfId="15613" xr:uid="{1DF6A4C4-509B-46C0-9B34-A7603B0248C2}"/>
    <cellStyle name="Currency 3 2 2 2 2 5 4" xfId="11396" xr:uid="{6FE92373-4EEA-493B-BC59-809266BBA15F}"/>
    <cellStyle name="Currency 3 2 2 2 2 6" xfId="2416" xr:uid="{00000000-0005-0000-0000-0000B90A0000}"/>
    <cellStyle name="Currency 3 2 2 2 2 6 2" xfId="6700" xr:uid="{00000000-0005-0000-0000-0000BA0A0000}"/>
    <cellStyle name="Currency 3 2 2 2 2 6 2 2" xfId="16026" xr:uid="{2C3A0515-7F57-4DAF-8536-7EB5D1AB7FEB}"/>
    <cellStyle name="Currency 3 2 2 2 2 6 3" xfId="11809" xr:uid="{36EE7A99-1468-4413-8ADE-EACBFFD3A4BC}"/>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8 2 2" xfId="16343" xr:uid="{16AF3CB0-CF03-401C-A615-A1D4ED9F3C5B}"/>
    <cellStyle name="Currency 3 2 2 2 2 8 3" xfId="12126" xr:uid="{EF1ECC31-42E3-45AF-BC45-B93D35D8470E}"/>
    <cellStyle name="Currency 3 2 2 2 2 9" xfId="4634" xr:uid="{00000000-0005-0000-0000-0000BE0A0000}"/>
    <cellStyle name="Currency 3 2 2 2 2 9 2" xfId="13960" xr:uid="{D22AABEB-3A24-4F53-ACBC-C9EA643EC8C7}"/>
    <cellStyle name="Currency 3 2 2 2 3" xfId="709" xr:uid="{00000000-0005-0000-0000-0000BF0A0000}"/>
    <cellStyle name="Currency 3 2 2 2 3 2" xfId="2970" xr:uid="{00000000-0005-0000-0000-0000C00A0000}"/>
    <cellStyle name="Currency 3 2 2 2 3 2 2" xfId="7192" xr:uid="{00000000-0005-0000-0000-0000C10A0000}"/>
    <cellStyle name="Currency 3 2 2 2 3 2 2 2" xfId="16518" xr:uid="{7B3AE287-2EB4-4045-A085-42F6CD5BB36A}"/>
    <cellStyle name="Currency 3 2 2 2 3 2 3" xfId="12301" xr:uid="{DA4446C9-9F65-441C-AA55-22E646CB959A}"/>
    <cellStyle name="Currency 3 2 2 2 3 3" xfId="5047" xr:uid="{00000000-0005-0000-0000-0000C20A0000}"/>
    <cellStyle name="Currency 3 2 2 2 3 3 2" xfId="14373" xr:uid="{F70E73DE-5A94-46C3-A209-BACC1152BB81}"/>
    <cellStyle name="Currency 3 2 2 2 3 4" xfId="9336" xr:uid="{F86D5454-A503-484B-B8F3-81FF219E49D0}"/>
    <cellStyle name="Currency 3 2 2 2 3 4 2" xfId="18651" xr:uid="{7F4A308C-4197-46AB-8F9D-4CA8A628D988}"/>
    <cellStyle name="Currency 3 2 2 2 3 5" xfId="10156" xr:uid="{809F4F67-B46A-4B9C-BC89-A5F1C2A6285B}"/>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2 2 2" xfId="16931" xr:uid="{246A9A65-38CF-4D39-953D-1AD0DCE2110F}"/>
    <cellStyle name="Currency 3 2 2 2 4 2 3" xfId="12714" xr:uid="{DE4A37B9-59BD-4D3F-9C3E-0E02E083B35B}"/>
    <cellStyle name="Currency 3 2 2 2 4 3" xfId="5460" xr:uid="{00000000-0005-0000-0000-0000C60A0000}"/>
    <cellStyle name="Currency 3 2 2 2 4 3 2" xfId="14786" xr:uid="{794FDB9F-DF7B-4910-803F-484A8607C362}"/>
    <cellStyle name="Currency 3 2 2 2 4 4" xfId="10569" xr:uid="{BB2E6C4E-13BD-4793-9045-B1A7A6388449}"/>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2 2 2" xfId="17344" xr:uid="{5C947C7A-4114-4318-B2C4-C3F72DFB68D9}"/>
    <cellStyle name="Currency 3 2 2 2 5 2 3" xfId="13127" xr:uid="{B1F1D223-2294-41D6-A7CE-0EBB857FB37F}"/>
    <cellStyle name="Currency 3 2 2 2 5 3" xfId="5873" xr:uid="{00000000-0005-0000-0000-0000CA0A0000}"/>
    <cellStyle name="Currency 3 2 2 2 5 3 2" xfId="15199" xr:uid="{5BE57F45-A720-41C5-8BE7-D20B6C4DBCEA}"/>
    <cellStyle name="Currency 3 2 2 2 5 4" xfId="10982" xr:uid="{A2B6D0CB-AC03-4D2C-BD0E-DE6CA9E061AA}"/>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2 2 2" xfId="17757" xr:uid="{0062D181-F680-41DD-ADE9-7DE5FA716C19}"/>
    <cellStyle name="Currency 3 2 2 2 6 2 3" xfId="13540" xr:uid="{20B19EE9-4EF1-4788-B5A2-5F8C1F7E76B5}"/>
    <cellStyle name="Currency 3 2 2 2 6 3" xfId="6286" xr:uid="{00000000-0005-0000-0000-0000CE0A0000}"/>
    <cellStyle name="Currency 3 2 2 2 6 3 2" xfId="15612" xr:uid="{93A86AD6-D96D-4511-8D87-C3897A5517EC}"/>
    <cellStyle name="Currency 3 2 2 2 6 4" xfId="11395" xr:uid="{69479CD9-E728-4D9F-B33E-907D2FC46A3C}"/>
    <cellStyle name="Currency 3 2 2 2 7" xfId="2415" xr:uid="{00000000-0005-0000-0000-0000CF0A0000}"/>
    <cellStyle name="Currency 3 2 2 2 7 2" xfId="6699" xr:uid="{00000000-0005-0000-0000-0000D00A0000}"/>
    <cellStyle name="Currency 3 2 2 2 7 2 2" xfId="16025" xr:uid="{3B37523A-E83A-4B68-8CC1-D9F603A2FBBD}"/>
    <cellStyle name="Currency 3 2 2 2 7 3" xfId="11808" xr:uid="{FE1DE457-D5AF-4E66-B5CF-5EE6E4B1568D}"/>
    <cellStyle name="Currency 3 2 2 2 8" xfId="2712" xr:uid="{00000000-0005-0000-0000-0000D10A0000}"/>
    <cellStyle name="Currency 3 2 2 2 9" xfId="2793" xr:uid="{00000000-0005-0000-0000-0000D20A0000}"/>
    <cellStyle name="Currency 3 2 2 2 9 2" xfId="7016" xr:uid="{00000000-0005-0000-0000-0000D30A0000}"/>
    <cellStyle name="Currency 3 2 2 2 9 2 2" xfId="16342" xr:uid="{5389170F-303B-45A0-888E-7ED516E1106D}"/>
    <cellStyle name="Currency 3 2 2 2 9 3" xfId="12125" xr:uid="{76321BB6-C267-41AB-81EC-08857B54183C}"/>
    <cellStyle name="Currency 3 2 2 3" xfId="181" xr:uid="{00000000-0005-0000-0000-0000D40A0000}"/>
    <cellStyle name="Currency 3 2 2 3 10" xfId="9015" xr:uid="{A1C3FAFC-6FB9-45C5-A279-C90E61794A63}"/>
    <cellStyle name="Currency 3 2 2 3 10 2" xfId="18339" xr:uid="{7F13E3B6-A995-4AE0-A9DA-6A2FD1C7AA72}"/>
    <cellStyle name="Currency 3 2 2 3 11" xfId="9744" xr:uid="{77DEABD2-8242-4F23-B3CF-DCA72281F819}"/>
    <cellStyle name="Currency 3 2 2 3 2" xfId="711" xr:uid="{00000000-0005-0000-0000-0000D50A0000}"/>
    <cellStyle name="Currency 3 2 2 3 2 2" xfId="2972" xr:uid="{00000000-0005-0000-0000-0000D60A0000}"/>
    <cellStyle name="Currency 3 2 2 3 2 2 2" xfId="7194" xr:uid="{00000000-0005-0000-0000-0000D70A0000}"/>
    <cellStyle name="Currency 3 2 2 3 2 2 2 2" xfId="16520" xr:uid="{FEAF7101-9B02-40C7-A1D3-5F0A310EC519}"/>
    <cellStyle name="Currency 3 2 2 3 2 2 3" xfId="12303" xr:uid="{4E8865F9-6E8A-4569-B26B-C15353A219AC}"/>
    <cellStyle name="Currency 3 2 2 3 2 3" xfId="5049" xr:uid="{00000000-0005-0000-0000-0000D80A0000}"/>
    <cellStyle name="Currency 3 2 2 3 2 3 2" xfId="14375" xr:uid="{FA20D792-BB8F-4E48-B8B1-A82E1827B483}"/>
    <cellStyle name="Currency 3 2 2 3 2 4" xfId="9440" xr:uid="{774D5512-BCA5-4224-A909-3336A63369C8}"/>
    <cellStyle name="Currency 3 2 2 3 2 4 2" xfId="18755" xr:uid="{BADA33AB-179D-475E-B24C-78A9E9572290}"/>
    <cellStyle name="Currency 3 2 2 3 2 5" xfId="10158" xr:uid="{FF0D5F3F-FCC6-487C-A92F-25D95DA57971}"/>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2 2 2" xfId="16933" xr:uid="{5D7F7F60-29D6-4319-A0F7-8D1C2E37DE49}"/>
    <cellStyle name="Currency 3 2 2 3 3 2 3" xfId="12716" xr:uid="{122897BF-BFBB-45AE-AFA0-800E1D6812BC}"/>
    <cellStyle name="Currency 3 2 2 3 3 3" xfId="5462" xr:uid="{00000000-0005-0000-0000-0000DC0A0000}"/>
    <cellStyle name="Currency 3 2 2 3 3 3 2" xfId="14788" xr:uid="{EDA4AD57-FDAE-4950-B52C-1B325D6E61A9}"/>
    <cellStyle name="Currency 3 2 2 3 3 4" xfId="10571" xr:uid="{95AC1DA3-F468-4C2B-83D0-61569132026C}"/>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2 2 2" xfId="17346" xr:uid="{6EEDEF4C-5CEB-4DCA-B6DE-A8EABB1F49F2}"/>
    <cellStyle name="Currency 3 2 2 3 4 2 3" xfId="13129" xr:uid="{8B4C14E6-BFC8-4B43-BCFF-73F42C7743FF}"/>
    <cellStyle name="Currency 3 2 2 3 4 3" xfId="5875" xr:uid="{00000000-0005-0000-0000-0000E00A0000}"/>
    <cellStyle name="Currency 3 2 2 3 4 3 2" xfId="15201" xr:uid="{4084BA75-FBA3-45E8-AE64-D2F68171CACF}"/>
    <cellStyle name="Currency 3 2 2 3 4 4" xfId="10984" xr:uid="{24968025-12B1-4A5A-9DD7-A8E30C2E1EE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2 2 2" xfId="17759" xr:uid="{E41A3BF1-5C2C-46C2-AE49-1CF3C595B0D2}"/>
    <cellStyle name="Currency 3 2 2 3 5 2 3" xfId="13542" xr:uid="{CC2DB358-F41D-4F91-B52E-C39981C4EF18}"/>
    <cellStyle name="Currency 3 2 2 3 5 3" xfId="6288" xr:uid="{00000000-0005-0000-0000-0000E40A0000}"/>
    <cellStyle name="Currency 3 2 2 3 5 3 2" xfId="15614" xr:uid="{AE568152-A0B2-4BC7-8BE9-B805E7F79521}"/>
    <cellStyle name="Currency 3 2 2 3 5 4" xfId="11397" xr:uid="{0BFAE1FE-183B-4A14-A386-33C25F03680A}"/>
    <cellStyle name="Currency 3 2 2 3 6" xfId="2417" xr:uid="{00000000-0005-0000-0000-0000E50A0000}"/>
    <cellStyle name="Currency 3 2 2 3 6 2" xfId="6701" xr:uid="{00000000-0005-0000-0000-0000E60A0000}"/>
    <cellStyle name="Currency 3 2 2 3 6 2 2" xfId="16027" xr:uid="{87962B26-FE5C-4CC3-8D7C-64DFEE9B97D2}"/>
    <cellStyle name="Currency 3 2 2 3 6 3" xfId="11810" xr:uid="{260CE974-45F3-4C07-9C01-D6F231328EE8}"/>
    <cellStyle name="Currency 3 2 2 3 7" xfId="2714" xr:uid="{00000000-0005-0000-0000-0000E70A0000}"/>
    <cellStyle name="Currency 3 2 2 3 8" xfId="2795" xr:uid="{00000000-0005-0000-0000-0000E80A0000}"/>
    <cellStyle name="Currency 3 2 2 3 8 2" xfId="7018" xr:uid="{00000000-0005-0000-0000-0000E90A0000}"/>
    <cellStyle name="Currency 3 2 2 3 8 2 2" xfId="16344" xr:uid="{D2E60387-EE02-4525-BAE5-92800BCFDC13}"/>
    <cellStyle name="Currency 3 2 2 3 8 3" xfId="12127" xr:uid="{48F26ED8-3F8A-48FD-836E-F0827D38553B}"/>
    <cellStyle name="Currency 3 2 2 3 9" xfId="4635" xr:uid="{00000000-0005-0000-0000-0000EA0A0000}"/>
    <cellStyle name="Currency 3 2 2 3 9 2" xfId="13961" xr:uid="{867B04F6-2BB4-4273-8FCE-5C8AD14D334C}"/>
    <cellStyle name="Currency 3 2 2 4" xfId="708" xr:uid="{00000000-0005-0000-0000-0000EB0A0000}"/>
    <cellStyle name="Currency 3 2 2 4 2" xfId="2969" xr:uid="{00000000-0005-0000-0000-0000EC0A0000}"/>
    <cellStyle name="Currency 3 2 2 4 2 2" xfId="7191" xr:uid="{00000000-0005-0000-0000-0000ED0A0000}"/>
    <cellStyle name="Currency 3 2 2 4 2 2 2" xfId="16517" xr:uid="{06390472-565E-46EF-BA93-74087C943B4E}"/>
    <cellStyle name="Currency 3 2 2 4 2 3" xfId="12300" xr:uid="{06D7C923-63CE-42E7-AE59-6E80FF3F25E4}"/>
    <cellStyle name="Currency 3 2 2 4 3" xfId="5046" xr:uid="{00000000-0005-0000-0000-0000EE0A0000}"/>
    <cellStyle name="Currency 3 2 2 4 3 2" xfId="14372" xr:uid="{7DEEAFAB-9406-4148-B3C4-E1232B87A367}"/>
    <cellStyle name="Currency 3 2 2 4 4" xfId="9233" xr:uid="{A90843BF-65B1-48E5-9C93-A2651D7B4B13}"/>
    <cellStyle name="Currency 3 2 2 4 4 2" xfId="18548" xr:uid="{17316CEA-D873-4657-A471-7F22DB44E6B5}"/>
    <cellStyle name="Currency 3 2 2 4 5" xfId="10155" xr:uid="{D3285A73-4C68-4DFC-8E03-B001C4D06776}"/>
    <cellStyle name="Currency 3 2 2 5" xfId="1151" xr:uid="{00000000-0005-0000-0000-0000EF0A0000}"/>
    <cellStyle name="Currency 3 2 2 5 2" xfId="3382" xr:uid="{00000000-0005-0000-0000-0000F00A0000}"/>
    <cellStyle name="Currency 3 2 2 5 2 2" xfId="7604" xr:uid="{00000000-0005-0000-0000-0000F10A0000}"/>
    <cellStyle name="Currency 3 2 2 5 2 2 2" xfId="16930" xr:uid="{159CED8E-C3C9-4EF8-BB24-3C30E38B0E30}"/>
    <cellStyle name="Currency 3 2 2 5 2 3" xfId="12713" xr:uid="{CE7E31FC-0DC1-46C8-95D7-55262E1F17CF}"/>
    <cellStyle name="Currency 3 2 2 5 3" xfId="5459" xr:uid="{00000000-0005-0000-0000-0000F20A0000}"/>
    <cellStyle name="Currency 3 2 2 5 3 2" xfId="14785" xr:uid="{F05669E9-C93C-45F3-88B4-929B544522B3}"/>
    <cellStyle name="Currency 3 2 2 5 4" xfId="10568" xr:uid="{AD00E3A9-389E-463A-BE1A-A3E8E783287B}"/>
    <cellStyle name="Currency 3 2 2 6" xfId="1565" xr:uid="{00000000-0005-0000-0000-0000F30A0000}"/>
    <cellStyle name="Currency 3 2 2 6 2" xfId="3795" xr:uid="{00000000-0005-0000-0000-0000F40A0000}"/>
    <cellStyle name="Currency 3 2 2 6 2 2" xfId="8017" xr:uid="{00000000-0005-0000-0000-0000F50A0000}"/>
    <cellStyle name="Currency 3 2 2 6 2 2 2" xfId="17343" xr:uid="{16F0FCE9-1C95-4D2C-AB4E-EE913FE4E3E0}"/>
    <cellStyle name="Currency 3 2 2 6 2 3" xfId="13126" xr:uid="{C151874B-5FED-4B9B-B6F6-2418491EA7EB}"/>
    <cellStyle name="Currency 3 2 2 6 3" xfId="5872" xr:uid="{00000000-0005-0000-0000-0000F60A0000}"/>
    <cellStyle name="Currency 3 2 2 6 3 2" xfId="15198" xr:uid="{1530D43E-63D1-4E4D-AB4D-6814BE1AFC8A}"/>
    <cellStyle name="Currency 3 2 2 6 4" xfId="10981" xr:uid="{2962FD6E-6A01-4F37-8E5A-8DC26B13DBDE}"/>
    <cellStyle name="Currency 3 2 2 7" xfId="1979" xr:uid="{00000000-0005-0000-0000-0000F70A0000}"/>
    <cellStyle name="Currency 3 2 2 7 2" xfId="4208" xr:uid="{00000000-0005-0000-0000-0000F80A0000}"/>
    <cellStyle name="Currency 3 2 2 7 2 2" xfId="8430" xr:uid="{00000000-0005-0000-0000-0000F90A0000}"/>
    <cellStyle name="Currency 3 2 2 7 2 2 2" xfId="17756" xr:uid="{F564B414-1781-4741-A2F6-AE6F0A139903}"/>
    <cellStyle name="Currency 3 2 2 7 2 3" xfId="13539" xr:uid="{DAF28A00-1FFC-44CF-A3C3-E3655BBED7F0}"/>
    <cellStyle name="Currency 3 2 2 7 3" xfId="6285" xr:uid="{00000000-0005-0000-0000-0000FA0A0000}"/>
    <cellStyle name="Currency 3 2 2 7 3 2" xfId="15611" xr:uid="{87A6143B-C7CC-4A73-A1FB-543F1C0F335D}"/>
    <cellStyle name="Currency 3 2 2 7 4" xfId="11394" xr:uid="{91C9690F-9662-4362-A863-813F337EB6CA}"/>
    <cellStyle name="Currency 3 2 2 8" xfId="2414" xr:uid="{00000000-0005-0000-0000-0000FB0A0000}"/>
    <cellStyle name="Currency 3 2 2 8 2" xfId="6698" xr:uid="{00000000-0005-0000-0000-0000FC0A0000}"/>
    <cellStyle name="Currency 3 2 2 8 2 2" xfId="16024" xr:uid="{9E916F90-9ABC-4FA8-B516-57B0058D831C}"/>
    <cellStyle name="Currency 3 2 2 8 3" xfId="11807" xr:uid="{A1C5A997-B480-48FC-830C-5F9F41AA542D}"/>
    <cellStyle name="Currency 3 2 2 9" xfId="2711" xr:uid="{00000000-0005-0000-0000-0000FD0A0000}"/>
    <cellStyle name="Currency 3 2 3" xfId="182" xr:uid="{00000000-0005-0000-0000-0000FE0A0000}"/>
    <cellStyle name="Currency 3 2 3 10" xfId="4636" xr:uid="{00000000-0005-0000-0000-0000FF0A0000}"/>
    <cellStyle name="Currency 3 2 3 10 2" xfId="13962" xr:uid="{FED7F524-5022-4FFC-9AE2-13FC0BACCAF7}"/>
    <cellStyle name="Currency 3 2 3 11" xfId="8893" xr:uid="{8CE28714-D587-402C-9A17-1A08799662D4}"/>
    <cellStyle name="Currency 3 2 3 11 2" xfId="18217" xr:uid="{7FF2357F-12CF-4BDB-A757-51F4CE876954}"/>
    <cellStyle name="Currency 3 2 3 12" xfId="9745" xr:uid="{BCA091C8-9F06-4D49-84ED-C38325D2F8C1}"/>
    <cellStyle name="Currency 3 2 3 2" xfId="183" xr:uid="{00000000-0005-0000-0000-0000000B0000}"/>
    <cellStyle name="Currency 3 2 3 2 10" xfId="9100" xr:uid="{CEBE1F40-0923-46C6-AB84-DD4DAB20CD81}"/>
    <cellStyle name="Currency 3 2 3 2 10 2" xfId="18424" xr:uid="{DFA52502-A863-4553-BD48-94AE1B9F50F3}"/>
    <cellStyle name="Currency 3 2 3 2 11" xfId="9746" xr:uid="{551E24AF-0B97-4647-8BA8-F15713FAB6FA}"/>
    <cellStyle name="Currency 3 2 3 2 2" xfId="713" xr:uid="{00000000-0005-0000-0000-0000010B0000}"/>
    <cellStyle name="Currency 3 2 3 2 2 2" xfId="2974" xr:uid="{00000000-0005-0000-0000-0000020B0000}"/>
    <cellStyle name="Currency 3 2 3 2 2 2 2" xfId="7196" xr:uid="{00000000-0005-0000-0000-0000030B0000}"/>
    <cellStyle name="Currency 3 2 3 2 2 2 2 2" xfId="16522" xr:uid="{BCD4E385-46E1-4596-879A-6BA7166F7140}"/>
    <cellStyle name="Currency 3 2 3 2 2 2 3" xfId="12305" xr:uid="{FE2B618E-83E0-4B63-B446-742F83AF163C}"/>
    <cellStyle name="Currency 3 2 3 2 2 3" xfId="5051" xr:uid="{00000000-0005-0000-0000-0000040B0000}"/>
    <cellStyle name="Currency 3 2 3 2 2 3 2" xfId="14377" xr:uid="{C0400D7D-C22A-4C2F-98DA-B92C23D0C0B7}"/>
    <cellStyle name="Currency 3 2 3 2 2 4" xfId="9525" xr:uid="{759374BA-DDD8-4F33-9655-B300986F8700}"/>
    <cellStyle name="Currency 3 2 3 2 2 4 2" xfId="18840" xr:uid="{E15789D0-70F3-4088-8A40-A93412F795D2}"/>
    <cellStyle name="Currency 3 2 3 2 2 5" xfId="10160" xr:uid="{533BE00D-8979-42E5-B552-D927EA45AF53}"/>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2 2 2" xfId="16935" xr:uid="{1FFDAF88-9087-49F6-8BF3-80F15FCAF1C1}"/>
    <cellStyle name="Currency 3 2 3 2 3 2 3" xfId="12718" xr:uid="{037B3173-AF9C-448A-A4E8-819B9FD49E98}"/>
    <cellStyle name="Currency 3 2 3 2 3 3" xfId="5464" xr:uid="{00000000-0005-0000-0000-0000080B0000}"/>
    <cellStyle name="Currency 3 2 3 2 3 3 2" xfId="14790" xr:uid="{0F548E0F-EE92-491C-BD87-3776F314548C}"/>
    <cellStyle name="Currency 3 2 3 2 3 4" xfId="10573" xr:uid="{C7E1BF23-27F7-4AF5-BA16-7F2B8B1159C9}"/>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2 2 2" xfId="17348" xr:uid="{14673E69-81B6-48B1-82EE-8618D919ED5A}"/>
    <cellStyle name="Currency 3 2 3 2 4 2 3" xfId="13131" xr:uid="{C16839C5-2D4C-4A14-8CE0-2BCEA5C1B575}"/>
    <cellStyle name="Currency 3 2 3 2 4 3" xfId="5877" xr:uid="{00000000-0005-0000-0000-00000C0B0000}"/>
    <cellStyle name="Currency 3 2 3 2 4 3 2" xfId="15203" xr:uid="{E2A876B6-76A2-4C2B-BF58-E43F661A4D16}"/>
    <cellStyle name="Currency 3 2 3 2 4 4" xfId="10986" xr:uid="{7B672905-E21E-46E5-A329-703D5D90BE25}"/>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2 2 2" xfId="17761" xr:uid="{19D31720-8310-4DAF-B711-D6AEC8CEA2E0}"/>
    <cellStyle name="Currency 3 2 3 2 5 2 3" xfId="13544" xr:uid="{B31F0FDC-AC60-4284-B26B-0D26D8521774}"/>
    <cellStyle name="Currency 3 2 3 2 5 3" xfId="6290" xr:uid="{00000000-0005-0000-0000-0000100B0000}"/>
    <cellStyle name="Currency 3 2 3 2 5 3 2" xfId="15616" xr:uid="{AB4194AF-0969-44AC-94B5-79D4DB2B240B}"/>
    <cellStyle name="Currency 3 2 3 2 5 4" xfId="11399" xr:uid="{0A768FA4-E2C4-48BE-8D80-613586A2B1B8}"/>
    <cellStyle name="Currency 3 2 3 2 6" xfId="2419" xr:uid="{00000000-0005-0000-0000-0000110B0000}"/>
    <cellStyle name="Currency 3 2 3 2 6 2" xfId="6703" xr:uid="{00000000-0005-0000-0000-0000120B0000}"/>
    <cellStyle name="Currency 3 2 3 2 6 2 2" xfId="16029" xr:uid="{1B0123B9-2CC5-4821-AEDE-BA55731F9DDA}"/>
    <cellStyle name="Currency 3 2 3 2 6 3" xfId="11812" xr:uid="{CCC52587-08BB-4744-B408-8DC40C8CBAB9}"/>
    <cellStyle name="Currency 3 2 3 2 7" xfId="2716" xr:uid="{00000000-0005-0000-0000-0000130B0000}"/>
    <cellStyle name="Currency 3 2 3 2 8" xfId="2797" xr:uid="{00000000-0005-0000-0000-0000140B0000}"/>
    <cellStyle name="Currency 3 2 3 2 8 2" xfId="7020" xr:uid="{00000000-0005-0000-0000-0000150B0000}"/>
    <cellStyle name="Currency 3 2 3 2 8 2 2" xfId="16346" xr:uid="{3601F14A-99EB-4F34-B86F-D09C000B7F17}"/>
    <cellStyle name="Currency 3 2 3 2 8 3" xfId="12129" xr:uid="{6C5C00C7-D109-460E-8701-6B1FA8D66358}"/>
    <cellStyle name="Currency 3 2 3 2 9" xfId="4637" xr:uid="{00000000-0005-0000-0000-0000160B0000}"/>
    <cellStyle name="Currency 3 2 3 2 9 2" xfId="13963" xr:uid="{A80700DD-13A6-4051-BC6C-5EDA6B119B4B}"/>
    <cellStyle name="Currency 3 2 3 3" xfId="712" xr:uid="{00000000-0005-0000-0000-0000170B0000}"/>
    <cellStyle name="Currency 3 2 3 3 2" xfId="2973" xr:uid="{00000000-0005-0000-0000-0000180B0000}"/>
    <cellStyle name="Currency 3 2 3 3 2 2" xfId="7195" xr:uid="{00000000-0005-0000-0000-0000190B0000}"/>
    <cellStyle name="Currency 3 2 3 3 2 2 2" xfId="16521" xr:uid="{B6155F84-C2FC-46EC-84E4-E7541656D9B1}"/>
    <cellStyle name="Currency 3 2 3 3 2 3" xfId="12304" xr:uid="{774A53B4-10FA-4A8F-8294-4F38CBEE03E5}"/>
    <cellStyle name="Currency 3 2 3 3 3" xfId="5050" xr:uid="{00000000-0005-0000-0000-00001A0B0000}"/>
    <cellStyle name="Currency 3 2 3 3 3 2" xfId="14376" xr:uid="{B817EA7F-0AC5-4F36-A678-63624AEE2352}"/>
    <cellStyle name="Currency 3 2 3 3 4" xfId="9318" xr:uid="{AA73873E-8E72-4FDE-A22E-F5D80E2A87B1}"/>
    <cellStyle name="Currency 3 2 3 3 4 2" xfId="18633" xr:uid="{05B5CD88-96EF-4A6E-AC80-821A91695378}"/>
    <cellStyle name="Currency 3 2 3 3 5" xfId="10159" xr:uid="{73B5233D-743C-4768-A348-E85F7EDF93BA}"/>
    <cellStyle name="Currency 3 2 3 4" xfId="1155" xr:uid="{00000000-0005-0000-0000-00001B0B0000}"/>
    <cellStyle name="Currency 3 2 3 4 2" xfId="3386" xr:uid="{00000000-0005-0000-0000-00001C0B0000}"/>
    <cellStyle name="Currency 3 2 3 4 2 2" xfId="7608" xr:uid="{00000000-0005-0000-0000-00001D0B0000}"/>
    <cellStyle name="Currency 3 2 3 4 2 2 2" xfId="16934" xr:uid="{5690BB4C-96F5-44FF-BCDE-64872DAF598D}"/>
    <cellStyle name="Currency 3 2 3 4 2 3" xfId="12717" xr:uid="{9196A48A-42B4-4FBA-A5AC-6F12114948A2}"/>
    <cellStyle name="Currency 3 2 3 4 3" xfId="5463" xr:uid="{00000000-0005-0000-0000-00001E0B0000}"/>
    <cellStyle name="Currency 3 2 3 4 3 2" xfId="14789" xr:uid="{CE7186EC-3800-4CEE-9191-E2B7DB76828E}"/>
    <cellStyle name="Currency 3 2 3 4 4" xfId="10572" xr:uid="{52DA27C8-5CE1-41C7-88D5-3DBEDDA30D00}"/>
    <cellStyle name="Currency 3 2 3 5" xfId="1569" xr:uid="{00000000-0005-0000-0000-00001F0B0000}"/>
    <cellStyle name="Currency 3 2 3 5 2" xfId="3799" xr:uid="{00000000-0005-0000-0000-0000200B0000}"/>
    <cellStyle name="Currency 3 2 3 5 2 2" xfId="8021" xr:uid="{00000000-0005-0000-0000-0000210B0000}"/>
    <cellStyle name="Currency 3 2 3 5 2 2 2" xfId="17347" xr:uid="{74D27B1E-712B-4D66-ABE8-A6AC44FAE722}"/>
    <cellStyle name="Currency 3 2 3 5 2 3" xfId="13130" xr:uid="{4B8C6D8C-1A0C-4137-B099-3F883092FEF7}"/>
    <cellStyle name="Currency 3 2 3 5 3" xfId="5876" xr:uid="{00000000-0005-0000-0000-0000220B0000}"/>
    <cellStyle name="Currency 3 2 3 5 3 2" xfId="15202" xr:uid="{744650A4-D81D-4005-A4A3-8877925CA9A5}"/>
    <cellStyle name="Currency 3 2 3 5 4" xfId="10985" xr:uid="{D80949DA-A5AF-479A-A4B6-1123FA1EBAA0}"/>
    <cellStyle name="Currency 3 2 3 6" xfId="1983" xr:uid="{00000000-0005-0000-0000-0000230B0000}"/>
    <cellStyle name="Currency 3 2 3 6 2" xfId="4212" xr:uid="{00000000-0005-0000-0000-0000240B0000}"/>
    <cellStyle name="Currency 3 2 3 6 2 2" xfId="8434" xr:uid="{00000000-0005-0000-0000-0000250B0000}"/>
    <cellStyle name="Currency 3 2 3 6 2 2 2" xfId="17760" xr:uid="{BE6730B3-CE39-4798-9DC9-A971D7B20B30}"/>
    <cellStyle name="Currency 3 2 3 6 2 3" xfId="13543" xr:uid="{6C52355B-9B62-489B-A634-F06C7D05604B}"/>
    <cellStyle name="Currency 3 2 3 6 3" xfId="6289" xr:uid="{00000000-0005-0000-0000-0000260B0000}"/>
    <cellStyle name="Currency 3 2 3 6 3 2" xfId="15615" xr:uid="{28E61BA7-AF68-4CC6-A043-F91CCD678F05}"/>
    <cellStyle name="Currency 3 2 3 6 4" xfId="11398" xr:uid="{927C17A4-F1B6-4FEB-B3DE-FA02B4B1E57B}"/>
    <cellStyle name="Currency 3 2 3 7" xfId="2418" xr:uid="{00000000-0005-0000-0000-0000270B0000}"/>
    <cellStyle name="Currency 3 2 3 7 2" xfId="6702" xr:uid="{00000000-0005-0000-0000-0000280B0000}"/>
    <cellStyle name="Currency 3 2 3 7 2 2" xfId="16028" xr:uid="{F75CDD4A-4F83-461E-8DAB-56D75E606E05}"/>
    <cellStyle name="Currency 3 2 3 7 3" xfId="11811" xr:uid="{32BBFA42-62AD-43E2-96AF-BBCE970F7BEE}"/>
    <cellStyle name="Currency 3 2 3 8" xfId="2715" xr:uid="{00000000-0005-0000-0000-0000290B0000}"/>
    <cellStyle name="Currency 3 2 3 9" xfId="2796" xr:uid="{00000000-0005-0000-0000-00002A0B0000}"/>
    <cellStyle name="Currency 3 2 3 9 2" xfId="7019" xr:uid="{00000000-0005-0000-0000-00002B0B0000}"/>
    <cellStyle name="Currency 3 2 3 9 2 2" xfId="16345" xr:uid="{F90D1977-8E9F-4CF4-848E-D7E86039414F}"/>
    <cellStyle name="Currency 3 2 3 9 3" xfId="12128" xr:uid="{BF8110AA-296F-4233-A985-72494E26025D}"/>
    <cellStyle name="Currency 3 2 4" xfId="184" xr:uid="{00000000-0005-0000-0000-00002C0B0000}"/>
    <cellStyle name="Currency 3 2 4 10" xfId="8997" xr:uid="{DF9FC022-A382-4135-990F-F43A472E13BA}"/>
    <cellStyle name="Currency 3 2 4 10 2" xfId="18321" xr:uid="{6CEBCC2C-4CD9-4153-A8D4-C884E9C916F3}"/>
    <cellStyle name="Currency 3 2 4 11" xfId="9747" xr:uid="{9F5E9758-DD2E-4088-8021-1151CD759EB6}"/>
    <cellStyle name="Currency 3 2 4 2" xfId="714" xr:uid="{00000000-0005-0000-0000-00002D0B0000}"/>
    <cellStyle name="Currency 3 2 4 2 2" xfId="2975" xr:uid="{00000000-0005-0000-0000-00002E0B0000}"/>
    <cellStyle name="Currency 3 2 4 2 2 2" xfId="7197" xr:uid="{00000000-0005-0000-0000-00002F0B0000}"/>
    <cellStyle name="Currency 3 2 4 2 2 2 2" xfId="16523" xr:uid="{EC0A8825-2EDB-45C9-AE49-3B4264EF7A7A}"/>
    <cellStyle name="Currency 3 2 4 2 2 3" xfId="12306" xr:uid="{72B56FC5-58B8-4264-AC69-82B1CD2FC90B}"/>
    <cellStyle name="Currency 3 2 4 2 3" xfId="5052" xr:uid="{00000000-0005-0000-0000-0000300B0000}"/>
    <cellStyle name="Currency 3 2 4 2 3 2" xfId="14378" xr:uid="{0BF04125-7AB2-4491-AA04-C9CA8FE1C426}"/>
    <cellStyle name="Currency 3 2 4 2 4" xfId="9422" xr:uid="{3049B7CE-611E-437A-AD0B-2E3AA5E2E50D}"/>
    <cellStyle name="Currency 3 2 4 2 4 2" xfId="18737" xr:uid="{CCED87C5-C1D2-4EB5-9DB2-20281B2D0C2F}"/>
    <cellStyle name="Currency 3 2 4 2 5" xfId="10161" xr:uid="{17E6E9F3-676A-49F6-AA6A-6C9E0744FF3C}"/>
    <cellStyle name="Currency 3 2 4 3" xfId="1157" xr:uid="{00000000-0005-0000-0000-0000310B0000}"/>
    <cellStyle name="Currency 3 2 4 3 2" xfId="3388" xr:uid="{00000000-0005-0000-0000-0000320B0000}"/>
    <cellStyle name="Currency 3 2 4 3 2 2" xfId="7610" xr:uid="{00000000-0005-0000-0000-0000330B0000}"/>
    <cellStyle name="Currency 3 2 4 3 2 2 2" xfId="16936" xr:uid="{D2F5C6BE-5E74-4543-A533-A7E200BF6876}"/>
    <cellStyle name="Currency 3 2 4 3 2 3" xfId="12719" xr:uid="{9382ABAF-FBCD-4B33-BA6C-D7819B2B3A26}"/>
    <cellStyle name="Currency 3 2 4 3 3" xfId="5465" xr:uid="{00000000-0005-0000-0000-0000340B0000}"/>
    <cellStyle name="Currency 3 2 4 3 3 2" xfId="14791" xr:uid="{9AEF5334-C84E-4896-B119-973B1D25010A}"/>
    <cellStyle name="Currency 3 2 4 3 4" xfId="10574" xr:uid="{3220D212-FF3E-4DEF-9998-01D340953EDA}"/>
    <cellStyle name="Currency 3 2 4 4" xfId="1571" xr:uid="{00000000-0005-0000-0000-0000350B0000}"/>
    <cellStyle name="Currency 3 2 4 4 2" xfId="3801" xr:uid="{00000000-0005-0000-0000-0000360B0000}"/>
    <cellStyle name="Currency 3 2 4 4 2 2" xfId="8023" xr:uid="{00000000-0005-0000-0000-0000370B0000}"/>
    <cellStyle name="Currency 3 2 4 4 2 2 2" xfId="17349" xr:uid="{E3D42443-194D-4957-9A93-C2540AF296F3}"/>
    <cellStyle name="Currency 3 2 4 4 2 3" xfId="13132" xr:uid="{FCFD8046-2DF1-4D01-8597-84526FA44CC3}"/>
    <cellStyle name="Currency 3 2 4 4 3" xfId="5878" xr:uid="{00000000-0005-0000-0000-0000380B0000}"/>
    <cellStyle name="Currency 3 2 4 4 3 2" xfId="15204" xr:uid="{674171E9-CC44-4B70-A70F-0598A50ED8F0}"/>
    <cellStyle name="Currency 3 2 4 4 4" xfId="10987" xr:uid="{BE36A686-8AD9-4E22-872E-C311919DFE17}"/>
    <cellStyle name="Currency 3 2 4 5" xfId="1985" xr:uid="{00000000-0005-0000-0000-0000390B0000}"/>
    <cellStyle name="Currency 3 2 4 5 2" xfId="4214" xr:uid="{00000000-0005-0000-0000-00003A0B0000}"/>
    <cellStyle name="Currency 3 2 4 5 2 2" xfId="8436" xr:uid="{00000000-0005-0000-0000-00003B0B0000}"/>
    <cellStyle name="Currency 3 2 4 5 2 2 2" xfId="17762" xr:uid="{2D8575C1-3D74-4913-8E38-FEE56470F87B}"/>
    <cellStyle name="Currency 3 2 4 5 2 3" xfId="13545" xr:uid="{ACFE71BA-8D0F-4D90-86DA-F50FA510D59F}"/>
    <cellStyle name="Currency 3 2 4 5 3" xfId="6291" xr:uid="{00000000-0005-0000-0000-00003C0B0000}"/>
    <cellStyle name="Currency 3 2 4 5 3 2" xfId="15617" xr:uid="{D53F502C-A24C-4F74-950F-CA6769CE1610}"/>
    <cellStyle name="Currency 3 2 4 5 4" xfId="11400" xr:uid="{E566D6EC-0481-40D0-9C4E-90DD10F885AC}"/>
    <cellStyle name="Currency 3 2 4 6" xfId="2420" xr:uid="{00000000-0005-0000-0000-00003D0B0000}"/>
    <cellStyle name="Currency 3 2 4 6 2" xfId="6704" xr:uid="{00000000-0005-0000-0000-00003E0B0000}"/>
    <cellStyle name="Currency 3 2 4 6 2 2" xfId="16030" xr:uid="{1C2817A6-4336-4E4A-A1AF-897D3A7B9451}"/>
    <cellStyle name="Currency 3 2 4 6 3" xfId="11813" xr:uid="{EB835550-15B8-472B-8271-528C29890949}"/>
    <cellStyle name="Currency 3 2 4 7" xfId="2717" xr:uid="{00000000-0005-0000-0000-00003F0B0000}"/>
    <cellStyle name="Currency 3 2 4 8" xfId="2798" xr:uid="{00000000-0005-0000-0000-0000400B0000}"/>
    <cellStyle name="Currency 3 2 4 8 2" xfId="7021" xr:uid="{00000000-0005-0000-0000-0000410B0000}"/>
    <cellStyle name="Currency 3 2 4 8 2 2" xfId="16347" xr:uid="{965D2A0B-4CA6-4C08-8B34-0AB1BB4C800D}"/>
    <cellStyle name="Currency 3 2 4 8 3" xfId="12130" xr:uid="{AB73361D-4590-469A-A2AD-EE05E39B09B7}"/>
    <cellStyle name="Currency 3 2 4 9" xfId="4638" xr:uid="{00000000-0005-0000-0000-0000420B0000}"/>
    <cellStyle name="Currency 3 2 4 9 2" xfId="13964" xr:uid="{E4AEE2E4-089B-403C-AE28-563A071A8909}"/>
    <cellStyle name="Currency 3 2 5" xfId="185" xr:uid="{00000000-0005-0000-0000-0000430B0000}"/>
    <cellStyle name="Currency 3 2 5 10" xfId="9214" xr:uid="{3D0A867F-0B9D-4759-A509-3EC1084E197B}"/>
    <cellStyle name="Currency 3 2 5 10 2" xfId="18530" xr:uid="{2D2485FD-7531-479B-9BAE-C06215B6B465}"/>
    <cellStyle name="Currency 3 2 5 11" xfId="9748" xr:uid="{F475C358-B39E-4731-A5C7-825879A5BC2C}"/>
    <cellStyle name="Currency 3 2 5 2" xfId="715" xr:uid="{00000000-0005-0000-0000-0000440B0000}"/>
    <cellStyle name="Currency 3 2 5 2 2" xfId="2976" xr:uid="{00000000-0005-0000-0000-0000450B0000}"/>
    <cellStyle name="Currency 3 2 5 2 2 2" xfId="7198" xr:uid="{00000000-0005-0000-0000-0000460B0000}"/>
    <cellStyle name="Currency 3 2 5 2 2 2 2" xfId="16524" xr:uid="{EB627553-6488-4AEC-8613-E8A65D6EB2A7}"/>
    <cellStyle name="Currency 3 2 5 2 2 3" xfId="12307" xr:uid="{EFC3D9A8-7707-48EB-BAE9-B99A177300A2}"/>
    <cellStyle name="Currency 3 2 5 2 3" xfId="5053" xr:uid="{00000000-0005-0000-0000-0000470B0000}"/>
    <cellStyle name="Currency 3 2 5 2 3 2" xfId="14379" xr:uid="{B9857718-159B-4691-8879-DE4DF9C6FE42}"/>
    <cellStyle name="Currency 3 2 5 2 4" xfId="9597" xr:uid="{6E2F978E-96E4-4AD8-B4BD-1BE9D7E96A2F}"/>
    <cellStyle name="Currency 3 2 5 2 4 2" xfId="18901" xr:uid="{4FF1C567-3587-4580-8AAB-E6705DE19D41}"/>
    <cellStyle name="Currency 3 2 5 2 5" xfId="10162" xr:uid="{16DF90BD-746D-41EE-8420-840015B30387}"/>
    <cellStyle name="Currency 3 2 5 3" xfId="1158" xr:uid="{00000000-0005-0000-0000-0000480B0000}"/>
    <cellStyle name="Currency 3 2 5 3 2" xfId="3389" xr:uid="{00000000-0005-0000-0000-0000490B0000}"/>
    <cellStyle name="Currency 3 2 5 3 2 2" xfId="7611" xr:uid="{00000000-0005-0000-0000-00004A0B0000}"/>
    <cellStyle name="Currency 3 2 5 3 2 2 2" xfId="16937" xr:uid="{58FB4BA7-E5C4-4FBB-80B0-51B9D41F4E51}"/>
    <cellStyle name="Currency 3 2 5 3 2 3" xfId="12720" xr:uid="{411555A7-1127-40F1-B1D2-3CDADBB6B83C}"/>
    <cellStyle name="Currency 3 2 5 3 3" xfId="5466" xr:uid="{00000000-0005-0000-0000-00004B0B0000}"/>
    <cellStyle name="Currency 3 2 5 3 3 2" xfId="14792" xr:uid="{AFCC9B92-BFBE-454A-9F20-F8F7DD17B707}"/>
    <cellStyle name="Currency 3 2 5 3 4" xfId="10575" xr:uid="{AE2A16EC-EC37-419D-A5BC-F892D72AC77A}"/>
    <cellStyle name="Currency 3 2 5 4" xfId="1572" xr:uid="{00000000-0005-0000-0000-00004C0B0000}"/>
    <cellStyle name="Currency 3 2 5 4 2" xfId="3802" xr:uid="{00000000-0005-0000-0000-00004D0B0000}"/>
    <cellStyle name="Currency 3 2 5 4 2 2" xfId="8024" xr:uid="{00000000-0005-0000-0000-00004E0B0000}"/>
    <cellStyle name="Currency 3 2 5 4 2 2 2" xfId="17350" xr:uid="{1048DB1B-187E-4BC8-B29B-6449BFF06C83}"/>
    <cellStyle name="Currency 3 2 5 4 2 3" xfId="13133" xr:uid="{AE70B069-8447-4DFB-93F1-0204B063AE26}"/>
    <cellStyle name="Currency 3 2 5 4 3" xfId="5879" xr:uid="{00000000-0005-0000-0000-00004F0B0000}"/>
    <cellStyle name="Currency 3 2 5 4 3 2" xfId="15205" xr:uid="{5DB84D0B-D0DC-434E-AECA-678DB3DB669A}"/>
    <cellStyle name="Currency 3 2 5 4 4" xfId="10988" xr:uid="{DBA2AAC4-A8EC-4F3B-B8D7-F9931CF5FDE8}"/>
    <cellStyle name="Currency 3 2 5 5" xfId="1986" xr:uid="{00000000-0005-0000-0000-0000500B0000}"/>
    <cellStyle name="Currency 3 2 5 5 2" xfId="4215" xr:uid="{00000000-0005-0000-0000-0000510B0000}"/>
    <cellStyle name="Currency 3 2 5 5 2 2" xfId="8437" xr:uid="{00000000-0005-0000-0000-0000520B0000}"/>
    <cellStyle name="Currency 3 2 5 5 2 2 2" xfId="17763" xr:uid="{7745323A-A987-43BE-9267-292AF9B5269F}"/>
    <cellStyle name="Currency 3 2 5 5 2 3" xfId="13546" xr:uid="{19973EC8-2E5C-4736-A0E7-7E78BE8EA93B}"/>
    <cellStyle name="Currency 3 2 5 5 3" xfId="6292" xr:uid="{00000000-0005-0000-0000-0000530B0000}"/>
    <cellStyle name="Currency 3 2 5 5 3 2" xfId="15618" xr:uid="{4FA06E7E-5D00-48F9-AE6F-F92137933596}"/>
    <cellStyle name="Currency 3 2 5 5 4" xfId="11401" xr:uid="{D620ECD5-FB19-4805-B6A9-D14B7D6A91C2}"/>
    <cellStyle name="Currency 3 2 5 6" xfId="2421" xr:uid="{00000000-0005-0000-0000-0000540B0000}"/>
    <cellStyle name="Currency 3 2 5 6 2" xfId="6705" xr:uid="{00000000-0005-0000-0000-0000550B0000}"/>
    <cellStyle name="Currency 3 2 5 6 2 2" xfId="16031" xr:uid="{3C8AD033-B1CC-496F-9B4C-D071D1B8485D}"/>
    <cellStyle name="Currency 3 2 5 6 3" xfId="11814" xr:uid="{35514EDF-94D4-400B-A6F3-EAF1D588D59F}"/>
    <cellStyle name="Currency 3 2 5 7" xfId="2718" xr:uid="{00000000-0005-0000-0000-0000560B0000}"/>
    <cellStyle name="Currency 3 2 5 8" xfId="2799" xr:uid="{00000000-0005-0000-0000-0000570B0000}"/>
    <cellStyle name="Currency 3 2 5 8 2" xfId="7022" xr:uid="{00000000-0005-0000-0000-0000580B0000}"/>
    <cellStyle name="Currency 3 2 5 8 2 2" xfId="16348" xr:uid="{2E4F02D5-4ED8-4726-9B58-7E34E08E4671}"/>
    <cellStyle name="Currency 3 2 5 8 3" xfId="12131" xr:uid="{248B8C4F-FB17-42FC-BC80-770D285CC60B}"/>
    <cellStyle name="Currency 3 2 5 9" xfId="4639" xr:uid="{00000000-0005-0000-0000-0000590B0000}"/>
    <cellStyle name="Currency 3 2 5 9 2" xfId="13965" xr:uid="{10521D4F-46AC-41FE-9B3C-270356056A99}"/>
    <cellStyle name="Currency 3 2 6" xfId="9583" xr:uid="{653EC571-6DFB-4D44-8156-8097E74D2DD4}"/>
    <cellStyle name="Currency 3 2 7" xfId="8790" xr:uid="{4F16186C-C154-4E9A-B12A-0E13D64C3701}"/>
    <cellStyle name="Currency 3 2 7 2" xfId="18114" xr:uid="{B64F7746-F1F2-43EA-AAA4-CA8F59FAB6E0}"/>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0 2 2" xfId="16349" xr:uid="{DE601C24-0A12-4C01-853C-4BA584F31A03}"/>
    <cellStyle name="Currency 5 2 2 2 10 3" xfId="12132" xr:uid="{78262497-B8B8-4DD3-8A7C-5EACA460344C}"/>
    <cellStyle name="Currency 5 2 2 2 11" xfId="4640" xr:uid="{00000000-0005-0000-0000-00006C0B0000}"/>
    <cellStyle name="Currency 5 2 2 2 11 2" xfId="13966" xr:uid="{29AC5D69-E5EC-4C35-9352-71C7C801F3BA}"/>
    <cellStyle name="Currency 5 2 2 2 12" xfId="8809" xr:uid="{6E2B58BA-BC61-49BF-A0FE-5BC79A050654}"/>
    <cellStyle name="Currency 5 2 2 2 12 2" xfId="18133" xr:uid="{5E970FF7-9504-432A-928F-AE4B1358BB08}"/>
    <cellStyle name="Currency 5 2 2 2 13" xfId="9749" xr:uid="{EA7328E0-C856-4A55-86C0-48B15230C7A2}"/>
    <cellStyle name="Currency 5 2 2 2 2" xfId="197" xr:uid="{00000000-0005-0000-0000-00006D0B0000}"/>
    <cellStyle name="Currency 5 2 2 2 2 10" xfId="4641" xr:uid="{00000000-0005-0000-0000-00006E0B0000}"/>
    <cellStyle name="Currency 5 2 2 2 2 10 2" xfId="13967" xr:uid="{7E29A9B1-56AF-4035-AC4E-21762A78D8FB}"/>
    <cellStyle name="Currency 5 2 2 2 2 11" xfId="8912" xr:uid="{4079D27E-F98B-4445-AE20-FFD848158756}"/>
    <cellStyle name="Currency 5 2 2 2 2 11 2" xfId="18236" xr:uid="{D9087E77-062E-400C-8C02-380DFADD4D29}"/>
    <cellStyle name="Currency 5 2 2 2 2 12" xfId="9750" xr:uid="{7527C556-0EC8-4778-B7E1-3F57631BE269}"/>
    <cellStyle name="Currency 5 2 2 2 2 2" xfId="198" xr:uid="{00000000-0005-0000-0000-00006F0B0000}"/>
    <cellStyle name="Currency 5 2 2 2 2 2 10" xfId="9119" xr:uid="{2B97CFE9-E9FD-476D-A341-C695293642F3}"/>
    <cellStyle name="Currency 5 2 2 2 2 2 10 2" xfId="18443" xr:uid="{5F043A7B-4591-4AC8-B2ED-235B2DCC1AAC}"/>
    <cellStyle name="Currency 5 2 2 2 2 2 11" xfId="9751" xr:uid="{C3E5F7E6-1320-4D13-9A13-800D4B2A34F2}"/>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2 2 2" xfId="16527" xr:uid="{AFB1267E-7246-487A-8200-67D8B4E5B9F6}"/>
    <cellStyle name="Currency 5 2 2 2 2 2 2 2 3" xfId="12310" xr:uid="{F30CE941-F9E4-48D7-9306-844CF632FE03}"/>
    <cellStyle name="Currency 5 2 2 2 2 2 2 3" xfId="5056" xr:uid="{00000000-0005-0000-0000-0000730B0000}"/>
    <cellStyle name="Currency 5 2 2 2 2 2 2 3 2" xfId="14382" xr:uid="{7B5A57D3-F1A5-4DFA-848B-CB299FBD8FF6}"/>
    <cellStyle name="Currency 5 2 2 2 2 2 2 4" xfId="9544" xr:uid="{77881B28-843C-4677-B92C-D2A5804BDB97}"/>
    <cellStyle name="Currency 5 2 2 2 2 2 2 4 2" xfId="18859" xr:uid="{4420CB13-EA73-427C-8CBC-99A789A3B8C6}"/>
    <cellStyle name="Currency 5 2 2 2 2 2 2 5" xfId="10165" xr:uid="{C8F17DA5-6E27-4151-9A37-ECD73FA82E81}"/>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2 2 2" xfId="16940" xr:uid="{B993F635-745A-42EF-8B8D-0B7064951CB0}"/>
    <cellStyle name="Currency 5 2 2 2 2 2 3 2 3" xfId="12723" xr:uid="{8197A302-28E3-4EA0-A001-B8418CDFCAA7}"/>
    <cellStyle name="Currency 5 2 2 2 2 2 3 3" xfId="5469" xr:uid="{00000000-0005-0000-0000-0000770B0000}"/>
    <cellStyle name="Currency 5 2 2 2 2 2 3 3 2" xfId="14795" xr:uid="{975521A5-C61F-4064-932B-9A27B54FAD1E}"/>
    <cellStyle name="Currency 5 2 2 2 2 2 3 4" xfId="10578" xr:uid="{354C633D-3F1A-4A4B-B49F-FDDAF30BBF87}"/>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2 2 2" xfId="17353" xr:uid="{DD88892B-87C9-41A1-B102-EB42B36ABC3A}"/>
    <cellStyle name="Currency 5 2 2 2 2 2 4 2 3" xfId="13136" xr:uid="{41C70F27-D5CA-4EAE-B86C-850A588B66BA}"/>
    <cellStyle name="Currency 5 2 2 2 2 2 4 3" xfId="5882" xr:uid="{00000000-0005-0000-0000-00007B0B0000}"/>
    <cellStyle name="Currency 5 2 2 2 2 2 4 3 2" xfId="15208" xr:uid="{A42AB417-4B4A-4B75-9FB3-8A803C777825}"/>
    <cellStyle name="Currency 5 2 2 2 2 2 4 4" xfId="10991" xr:uid="{02112EFC-0945-486E-936B-04C645F66A64}"/>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2 2 2" xfId="17766" xr:uid="{B151FDEF-6B2D-4FD6-8C1C-DBC9FE61927E}"/>
    <cellStyle name="Currency 5 2 2 2 2 2 5 2 3" xfId="13549" xr:uid="{90BD4D33-CF2D-4CC6-B961-521FD8323D28}"/>
    <cellStyle name="Currency 5 2 2 2 2 2 5 3" xfId="6295" xr:uid="{00000000-0005-0000-0000-00007F0B0000}"/>
    <cellStyle name="Currency 5 2 2 2 2 2 5 3 2" xfId="15621" xr:uid="{A8034C6A-7FE1-4B73-A4B9-CBF801E35E68}"/>
    <cellStyle name="Currency 5 2 2 2 2 2 5 4" xfId="11404" xr:uid="{4028327C-759E-43A8-99D8-FFCDF93AFBC0}"/>
    <cellStyle name="Currency 5 2 2 2 2 2 6" xfId="2424" xr:uid="{00000000-0005-0000-0000-0000800B0000}"/>
    <cellStyle name="Currency 5 2 2 2 2 2 6 2" xfId="6708" xr:uid="{00000000-0005-0000-0000-0000810B0000}"/>
    <cellStyle name="Currency 5 2 2 2 2 2 6 2 2" xfId="16034" xr:uid="{61164E26-E97D-4F37-AC20-87C2968D5E8E}"/>
    <cellStyle name="Currency 5 2 2 2 2 2 6 3" xfId="11817" xr:uid="{3B42CA87-0140-4344-B25C-210838215C81}"/>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8 2 2" xfId="16351" xr:uid="{776F15CB-E9DE-4D36-900C-96503D91B58F}"/>
    <cellStyle name="Currency 5 2 2 2 2 2 8 3" xfId="12134" xr:uid="{46160B26-65E4-4E7D-B10E-E4969B79B785}"/>
    <cellStyle name="Currency 5 2 2 2 2 2 9" xfId="4642" xr:uid="{00000000-0005-0000-0000-0000850B0000}"/>
    <cellStyle name="Currency 5 2 2 2 2 2 9 2" xfId="13968" xr:uid="{FD858CAB-297E-4E95-9437-12B49D371CFC}"/>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2 2 2" xfId="16526" xr:uid="{7303C365-6038-4804-B0B4-639E00C39E29}"/>
    <cellStyle name="Currency 5 2 2 2 2 3 2 3" xfId="12309" xr:uid="{DB4D1366-91AB-4E36-AF83-5279843306D6}"/>
    <cellStyle name="Currency 5 2 2 2 2 3 3" xfId="5055" xr:uid="{00000000-0005-0000-0000-0000890B0000}"/>
    <cellStyle name="Currency 5 2 2 2 2 3 3 2" xfId="14381" xr:uid="{C49D34E0-C150-419E-938F-D883D9859776}"/>
    <cellStyle name="Currency 5 2 2 2 2 3 4" xfId="9337" xr:uid="{A1FF44B9-A8E0-4A4E-9BE9-DA7FD7E326AE}"/>
    <cellStyle name="Currency 5 2 2 2 2 3 4 2" xfId="18652" xr:uid="{84B88C22-C961-489C-9BDF-E7EFBC5B2692}"/>
    <cellStyle name="Currency 5 2 2 2 2 3 5" xfId="10164" xr:uid="{7549C0AB-19D1-4C8D-B713-C65C67D80EC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2 2 2" xfId="16939" xr:uid="{9B90FBC8-B7D0-47F7-BDBD-1B6E00554F5B}"/>
    <cellStyle name="Currency 5 2 2 2 2 4 2 3" xfId="12722" xr:uid="{094C5F1B-3765-45E1-8A9D-7E81C432C2D9}"/>
    <cellStyle name="Currency 5 2 2 2 2 4 3" xfId="5468" xr:uid="{00000000-0005-0000-0000-00008D0B0000}"/>
    <cellStyle name="Currency 5 2 2 2 2 4 3 2" xfId="14794" xr:uid="{EDDE7A63-F646-4AFD-96EC-49E0A5DAF004}"/>
    <cellStyle name="Currency 5 2 2 2 2 4 4" xfId="10577" xr:uid="{FB638564-2116-469C-8957-F979FDD535AA}"/>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2 2 2" xfId="17352" xr:uid="{CAF7A819-7CA6-48AC-A88C-54F531C5EB32}"/>
    <cellStyle name="Currency 5 2 2 2 2 5 2 3" xfId="13135" xr:uid="{B4F359DE-83FD-4EFD-97A8-998C432222C9}"/>
    <cellStyle name="Currency 5 2 2 2 2 5 3" xfId="5881" xr:uid="{00000000-0005-0000-0000-0000910B0000}"/>
    <cellStyle name="Currency 5 2 2 2 2 5 3 2" xfId="15207" xr:uid="{C69EACEC-FC18-49CA-BCDD-D9F9EA4190CD}"/>
    <cellStyle name="Currency 5 2 2 2 2 5 4" xfId="10990" xr:uid="{785BBC6F-263C-4B1A-9480-7702A4659716}"/>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2 2 2" xfId="17765" xr:uid="{1BE5269E-3995-47AF-88B1-A2E7D236942B}"/>
    <cellStyle name="Currency 5 2 2 2 2 6 2 3" xfId="13548" xr:uid="{8E7DBEB8-14F2-4840-A5D2-D90752AE9E2A}"/>
    <cellStyle name="Currency 5 2 2 2 2 6 3" xfId="6294" xr:uid="{00000000-0005-0000-0000-0000950B0000}"/>
    <cellStyle name="Currency 5 2 2 2 2 6 3 2" xfId="15620" xr:uid="{E7BCEB58-96D5-4076-9873-9D21939AB456}"/>
    <cellStyle name="Currency 5 2 2 2 2 6 4" xfId="11403" xr:uid="{3B6C0DD9-4315-4AFE-A5D1-E77DB72CE01D}"/>
    <cellStyle name="Currency 5 2 2 2 2 7" xfId="2423" xr:uid="{00000000-0005-0000-0000-0000960B0000}"/>
    <cellStyle name="Currency 5 2 2 2 2 7 2" xfId="6707" xr:uid="{00000000-0005-0000-0000-0000970B0000}"/>
    <cellStyle name="Currency 5 2 2 2 2 7 2 2" xfId="16033" xr:uid="{116B5D56-386A-4330-B980-E459CC3398D8}"/>
    <cellStyle name="Currency 5 2 2 2 2 7 3" xfId="11816" xr:uid="{A2EE8202-2D92-4A4D-BFA1-00678CB012B3}"/>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2 9 2 2" xfId="16350" xr:uid="{8F3E928C-5CE9-42B2-B818-27DFA4106903}"/>
    <cellStyle name="Currency 5 2 2 2 2 9 3" xfId="12133" xr:uid="{C660DCB3-672F-4718-98B7-666492768890}"/>
    <cellStyle name="Currency 5 2 2 2 3" xfId="199" xr:uid="{00000000-0005-0000-0000-00009B0B0000}"/>
    <cellStyle name="Currency 5 2 2 2 3 10" xfId="9016" xr:uid="{706F9706-E49D-4995-B402-A842C879DBC8}"/>
    <cellStyle name="Currency 5 2 2 2 3 10 2" xfId="18340" xr:uid="{F1117430-5460-4DE8-AA80-5899ABB80AAD}"/>
    <cellStyle name="Currency 5 2 2 2 3 11" xfId="9752" xr:uid="{346CC5FA-9AA9-4CB4-B739-E5C7D7A3955D}"/>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2 2 2" xfId="16528" xr:uid="{F08AE04A-7080-49D6-A221-558281CEBB96}"/>
    <cellStyle name="Currency 5 2 2 2 3 2 2 3" xfId="12311" xr:uid="{6717E17D-AD11-4EBE-92D6-D643F118831F}"/>
    <cellStyle name="Currency 5 2 2 2 3 2 3" xfId="5057" xr:uid="{00000000-0005-0000-0000-00009F0B0000}"/>
    <cellStyle name="Currency 5 2 2 2 3 2 3 2" xfId="14383" xr:uid="{3E796BC1-4B61-452B-B0AA-88799FC10DE0}"/>
    <cellStyle name="Currency 5 2 2 2 3 2 4" xfId="9441" xr:uid="{B7048274-E02F-4E6A-9C9A-FAD4299F19B1}"/>
    <cellStyle name="Currency 5 2 2 2 3 2 4 2" xfId="18756" xr:uid="{2384814E-0954-4EB9-810D-BCA0F3C7CAF0}"/>
    <cellStyle name="Currency 5 2 2 2 3 2 5" xfId="10166" xr:uid="{D74C7EA7-FC53-48BB-A665-911B5DB99902}"/>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2 2 2" xfId="16941" xr:uid="{054B693E-71E7-4475-8A16-8B3B6A8881CF}"/>
    <cellStyle name="Currency 5 2 2 2 3 3 2 3" xfId="12724" xr:uid="{550D07CA-76F0-427F-BC49-B9E47DD6FC7B}"/>
    <cellStyle name="Currency 5 2 2 2 3 3 3" xfId="5470" xr:uid="{00000000-0005-0000-0000-0000A30B0000}"/>
    <cellStyle name="Currency 5 2 2 2 3 3 3 2" xfId="14796" xr:uid="{F7FE4F9B-042A-4709-9667-9D9FBF394415}"/>
    <cellStyle name="Currency 5 2 2 2 3 3 4" xfId="10579" xr:uid="{2564E907-4BA6-4E43-8747-FDDF5FB356CE}"/>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2 2 2" xfId="17354" xr:uid="{F0B85ECF-B01E-40C7-BEF6-D8ED99B868A3}"/>
    <cellStyle name="Currency 5 2 2 2 3 4 2 3" xfId="13137" xr:uid="{FAB1CBBD-15B6-44E8-A829-AEDFCAD307CF}"/>
    <cellStyle name="Currency 5 2 2 2 3 4 3" xfId="5883" xr:uid="{00000000-0005-0000-0000-0000A70B0000}"/>
    <cellStyle name="Currency 5 2 2 2 3 4 3 2" xfId="15209" xr:uid="{9613F30E-6381-4305-90C5-5E376979173B}"/>
    <cellStyle name="Currency 5 2 2 2 3 4 4" xfId="10992" xr:uid="{859D792C-05EE-4400-9036-D3FC8C402FDC}"/>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2 2 2" xfId="17767" xr:uid="{B4D5E5F1-FAA2-4212-9A96-04D6F9DE6EAF}"/>
    <cellStyle name="Currency 5 2 2 2 3 5 2 3" xfId="13550" xr:uid="{5BBAF3E6-BF5E-40FA-BEF9-F0CF2DC6CAAA}"/>
    <cellStyle name="Currency 5 2 2 2 3 5 3" xfId="6296" xr:uid="{00000000-0005-0000-0000-0000AB0B0000}"/>
    <cellStyle name="Currency 5 2 2 2 3 5 3 2" xfId="15622" xr:uid="{2379A8B0-4FBB-4469-B54F-27071D797ACB}"/>
    <cellStyle name="Currency 5 2 2 2 3 5 4" xfId="11405" xr:uid="{4EE2E700-9FC5-4463-9149-4984C000D6B3}"/>
    <cellStyle name="Currency 5 2 2 2 3 6" xfId="2425" xr:uid="{00000000-0005-0000-0000-0000AC0B0000}"/>
    <cellStyle name="Currency 5 2 2 2 3 6 2" xfId="6709" xr:uid="{00000000-0005-0000-0000-0000AD0B0000}"/>
    <cellStyle name="Currency 5 2 2 2 3 6 2 2" xfId="16035" xr:uid="{06D6A5F9-A143-4D8D-B18C-F90F3F582653}"/>
    <cellStyle name="Currency 5 2 2 2 3 6 3" xfId="11818" xr:uid="{C760D86E-75D7-4E6F-9E0A-3A894ADA0F3E}"/>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8 2 2" xfId="16352" xr:uid="{471C9A9C-96EC-4F12-959B-5EF8C74C90B1}"/>
    <cellStyle name="Currency 5 2 2 2 3 8 3" xfId="12135" xr:uid="{600EC4F3-D103-4D7A-AFE8-9889D264EBF7}"/>
    <cellStyle name="Currency 5 2 2 2 3 9" xfId="4643" xr:uid="{00000000-0005-0000-0000-0000B10B0000}"/>
    <cellStyle name="Currency 5 2 2 2 3 9 2" xfId="13969" xr:uid="{2F8FE305-DE25-41FD-B567-B648B7AEDBC9}"/>
    <cellStyle name="Currency 5 2 2 2 4" xfId="723" xr:uid="{00000000-0005-0000-0000-0000B20B0000}"/>
    <cellStyle name="Currency 5 2 2 2 4 2" xfId="2977" xr:uid="{00000000-0005-0000-0000-0000B30B0000}"/>
    <cellStyle name="Currency 5 2 2 2 4 2 2" xfId="7199" xr:uid="{00000000-0005-0000-0000-0000B40B0000}"/>
    <cellStyle name="Currency 5 2 2 2 4 2 2 2" xfId="16525" xr:uid="{D0C108A1-3A6A-4946-86EE-005E9E2C38AB}"/>
    <cellStyle name="Currency 5 2 2 2 4 2 3" xfId="12308" xr:uid="{A44653ED-120B-47F8-B568-1A7E2EBC6339}"/>
    <cellStyle name="Currency 5 2 2 2 4 3" xfId="5054" xr:uid="{00000000-0005-0000-0000-0000B50B0000}"/>
    <cellStyle name="Currency 5 2 2 2 4 3 2" xfId="14380" xr:uid="{611FA727-5370-4D91-BDDF-7106184E92AA}"/>
    <cellStyle name="Currency 5 2 2 2 4 4" xfId="9234" xr:uid="{AAF147FE-13D8-48BD-A722-062B96166D61}"/>
    <cellStyle name="Currency 5 2 2 2 4 4 2" xfId="18549" xr:uid="{541ACD5F-C23D-4C5D-8183-40CCAC417851}"/>
    <cellStyle name="Currency 5 2 2 2 4 5" xfId="10163" xr:uid="{CF3C3675-CB0C-44E5-8AB1-B2350C3D2773}"/>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2 2 2" xfId="16938" xr:uid="{FCF0147E-7E17-47D9-8377-85A565EC564C}"/>
    <cellStyle name="Currency 5 2 2 2 5 2 3" xfId="12721" xr:uid="{2A28AA4A-4FEF-4E65-A914-AA9E96D54693}"/>
    <cellStyle name="Currency 5 2 2 2 5 3" xfId="5467" xr:uid="{00000000-0005-0000-0000-0000B90B0000}"/>
    <cellStyle name="Currency 5 2 2 2 5 3 2" xfId="14793" xr:uid="{AC529C60-632D-44F9-B15D-0CEE544AF411}"/>
    <cellStyle name="Currency 5 2 2 2 5 4" xfId="10576" xr:uid="{E0BFAAF0-C661-41DD-9366-57A1D2C633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2 2 2" xfId="17351" xr:uid="{8AD1B80F-C54E-4E89-A47C-96DAA825D5DD}"/>
    <cellStyle name="Currency 5 2 2 2 6 2 3" xfId="13134" xr:uid="{C1F4F7D1-4E02-4F76-A741-85C968BFDD73}"/>
    <cellStyle name="Currency 5 2 2 2 6 3" xfId="5880" xr:uid="{00000000-0005-0000-0000-0000BD0B0000}"/>
    <cellStyle name="Currency 5 2 2 2 6 3 2" xfId="15206" xr:uid="{D1A0A081-B9DA-4F74-B51A-77EFA23F7CD1}"/>
    <cellStyle name="Currency 5 2 2 2 6 4" xfId="10989" xr:uid="{7F7F4013-69E0-4444-9795-BBAB3D82FC28}"/>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2 2 2" xfId="17764" xr:uid="{0CC80BE0-9482-4073-A7D3-D2E8446A4A3C}"/>
    <cellStyle name="Currency 5 2 2 2 7 2 3" xfId="13547" xr:uid="{6FCCEDC4-7BC7-47D8-94EA-BFE801CC9CD0}"/>
    <cellStyle name="Currency 5 2 2 2 7 3" xfId="6293" xr:uid="{00000000-0005-0000-0000-0000C10B0000}"/>
    <cellStyle name="Currency 5 2 2 2 7 3 2" xfId="15619" xr:uid="{76A2F413-816A-4EA3-84B5-72B944C05069}"/>
    <cellStyle name="Currency 5 2 2 2 7 4" xfId="11402" xr:uid="{F22E900C-D74A-47C4-9BB1-8F9FAD073EE7}"/>
    <cellStyle name="Currency 5 2 2 2 8" xfId="2422" xr:uid="{00000000-0005-0000-0000-0000C20B0000}"/>
    <cellStyle name="Currency 5 2 2 2 8 2" xfId="6706" xr:uid="{00000000-0005-0000-0000-0000C30B0000}"/>
    <cellStyle name="Currency 5 2 2 2 8 2 2" xfId="16032" xr:uid="{803D0D58-DB10-4FE6-9386-D7186D057D02}"/>
    <cellStyle name="Currency 5 2 2 2 8 3" xfId="11815" xr:uid="{DC673DC8-9431-4BA9-8C7E-00CC69F331C7}"/>
    <cellStyle name="Currency 5 2 2 2 9" xfId="2719" xr:uid="{00000000-0005-0000-0000-0000C40B0000}"/>
    <cellStyle name="Currency 5 2 2 3" xfId="200" xr:uid="{00000000-0005-0000-0000-0000C50B0000}"/>
    <cellStyle name="Currency 5 2 2 3 10" xfId="4644" xr:uid="{00000000-0005-0000-0000-0000C60B0000}"/>
    <cellStyle name="Currency 5 2 2 3 10 2" xfId="13970" xr:uid="{6BFCC45F-577C-4DEA-B4D8-31B22579F448}"/>
    <cellStyle name="Currency 5 2 2 3 11" xfId="8890" xr:uid="{F313D4EC-7666-4BAA-9452-39176957C213}"/>
    <cellStyle name="Currency 5 2 2 3 11 2" xfId="18214" xr:uid="{BD39F26D-70E7-4FEE-B238-A446FAF37F5C}"/>
    <cellStyle name="Currency 5 2 2 3 12" xfId="9753" xr:uid="{42FBB87E-A6DE-4B3A-B77E-1E9DD6116AD7}"/>
    <cellStyle name="Currency 5 2 2 3 2" xfId="201" xr:uid="{00000000-0005-0000-0000-0000C70B0000}"/>
    <cellStyle name="Currency 5 2 2 3 2 10" xfId="9097" xr:uid="{74199D2F-F17A-42DD-AC8B-D958FBFFCA8B}"/>
    <cellStyle name="Currency 5 2 2 3 2 10 2" xfId="18421" xr:uid="{02050D50-AFDC-4E1A-BA2D-981C0C292D15}"/>
    <cellStyle name="Currency 5 2 2 3 2 11" xfId="9754" xr:uid="{D90D43AE-FEEE-44C2-BFE9-83E3BAF3B036}"/>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2 2 2" xfId="16530" xr:uid="{047A8A44-9D97-4185-B215-3148018BB599}"/>
    <cellStyle name="Currency 5 2 2 3 2 2 2 3" xfId="12313" xr:uid="{33C49852-D5D6-4EFA-BD2C-AC47B1C39FD1}"/>
    <cellStyle name="Currency 5 2 2 3 2 2 3" xfId="5059" xr:uid="{00000000-0005-0000-0000-0000CB0B0000}"/>
    <cellStyle name="Currency 5 2 2 3 2 2 3 2" xfId="14385" xr:uid="{4E98782A-227B-4418-A2DA-AFD2E28E451E}"/>
    <cellStyle name="Currency 5 2 2 3 2 2 4" xfId="9522" xr:uid="{58EAFCD4-DA5B-47CB-A637-29DA003AA3FD}"/>
    <cellStyle name="Currency 5 2 2 3 2 2 4 2" xfId="18837" xr:uid="{21C628BA-8E56-43B2-B02B-CDD092408F8A}"/>
    <cellStyle name="Currency 5 2 2 3 2 2 5" xfId="10168" xr:uid="{3197DD24-04D5-4689-9ECF-752BEA068469}"/>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2 2 2" xfId="16943" xr:uid="{E98D3281-FD5A-4DEF-82D5-6D2B5B0FE522}"/>
    <cellStyle name="Currency 5 2 2 3 2 3 2 3" xfId="12726" xr:uid="{438C669A-4E0F-4606-9F7E-A010B31F0ECD}"/>
    <cellStyle name="Currency 5 2 2 3 2 3 3" xfId="5472" xr:uid="{00000000-0005-0000-0000-0000CF0B0000}"/>
    <cellStyle name="Currency 5 2 2 3 2 3 3 2" xfId="14798" xr:uid="{B7E99918-AAA9-4874-AFA8-C77623FCA5FF}"/>
    <cellStyle name="Currency 5 2 2 3 2 3 4" xfId="10581" xr:uid="{204FA7F7-F9CB-4DC9-9E5F-1E0C65406E6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2 2 2" xfId="17356" xr:uid="{853C08F1-44D7-4C40-BE38-730186310969}"/>
    <cellStyle name="Currency 5 2 2 3 2 4 2 3" xfId="13139" xr:uid="{24694D95-965C-4EEC-B517-A16CDD49BDEE}"/>
    <cellStyle name="Currency 5 2 2 3 2 4 3" xfId="5885" xr:uid="{00000000-0005-0000-0000-0000D30B0000}"/>
    <cellStyle name="Currency 5 2 2 3 2 4 3 2" xfId="15211" xr:uid="{D8270E1D-4775-47BC-A8C5-E43A8F295655}"/>
    <cellStyle name="Currency 5 2 2 3 2 4 4" xfId="10994" xr:uid="{524D03AA-E7C5-49F4-A0E6-7A9D48AAB9CE}"/>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2 2 2" xfId="17769" xr:uid="{6EBF2B52-6BA3-4EAB-B18D-F2A9261AAEAD}"/>
    <cellStyle name="Currency 5 2 2 3 2 5 2 3" xfId="13552" xr:uid="{98234595-7BEC-4AB3-B03A-18C9ABB6DC3E}"/>
    <cellStyle name="Currency 5 2 2 3 2 5 3" xfId="6298" xr:uid="{00000000-0005-0000-0000-0000D70B0000}"/>
    <cellStyle name="Currency 5 2 2 3 2 5 3 2" xfId="15624" xr:uid="{1F86F114-984A-46E3-9459-CFFFBBA773A8}"/>
    <cellStyle name="Currency 5 2 2 3 2 5 4" xfId="11407" xr:uid="{A10692E3-3573-49EA-8B2C-B295FF4975E9}"/>
    <cellStyle name="Currency 5 2 2 3 2 6" xfId="2427" xr:uid="{00000000-0005-0000-0000-0000D80B0000}"/>
    <cellStyle name="Currency 5 2 2 3 2 6 2" xfId="6711" xr:uid="{00000000-0005-0000-0000-0000D90B0000}"/>
    <cellStyle name="Currency 5 2 2 3 2 6 2 2" xfId="16037" xr:uid="{E38FB422-8E40-4135-8DAB-E4F22B33B9FD}"/>
    <cellStyle name="Currency 5 2 2 3 2 6 3" xfId="11820" xr:uid="{5EFE4C97-09CE-4E06-9EBB-2F5F46FF2298}"/>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8 2 2" xfId="16354" xr:uid="{ADE025FF-2D26-48AA-8B09-F49FF2F785B9}"/>
    <cellStyle name="Currency 5 2 2 3 2 8 3" xfId="12137" xr:uid="{D87B25C8-4D78-4396-AA61-608C54650B41}"/>
    <cellStyle name="Currency 5 2 2 3 2 9" xfId="4645" xr:uid="{00000000-0005-0000-0000-0000DD0B0000}"/>
    <cellStyle name="Currency 5 2 2 3 2 9 2" xfId="13971" xr:uid="{2F96E963-B15C-45F7-919C-CE1113ADD20E}"/>
    <cellStyle name="Currency 5 2 2 3 3" xfId="727" xr:uid="{00000000-0005-0000-0000-0000DE0B0000}"/>
    <cellStyle name="Currency 5 2 2 3 3 2" xfId="2981" xr:uid="{00000000-0005-0000-0000-0000DF0B0000}"/>
    <cellStyle name="Currency 5 2 2 3 3 2 2" xfId="7203" xr:uid="{00000000-0005-0000-0000-0000E00B0000}"/>
    <cellStyle name="Currency 5 2 2 3 3 2 2 2" xfId="16529" xr:uid="{03ED065C-AD38-45F3-B300-BC22295195BA}"/>
    <cellStyle name="Currency 5 2 2 3 3 2 3" xfId="12312" xr:uid="{CB3A35AA-5B37-4DE0-97BF-7FBE896F9D97}"/>
    <cellStyle name="Currency 5 2 2 3 3 3" xfId="5058" xr:uid="{00000000-0005-0000-0000-0000E10B0000}"/>
    <cellStyle name="Currency 5 2 2 3 3 3 2" xfId="14384" xr:uid="{09F2AD83-F400-4E25-AAAB-D7F3EEE93C6A}"/>
    <cellStyle name="Currency 5 2 2 3 3 4" xfId="9315" xr:uid="{A76EC348-1CDB-41C1-B9B8-9215FF30C619}"/>
    <cellStyle name="Currency 5 2 2 3 3 4 2" xfId="18630" xr:uid="{9D87B348-BA87-443E-BC13-3329F3286CF3}"/>
    <cellStyle name="Currency 5 2 2 3 3 5" xfId="10167" xr:uid="{2A19A57B-3025-474A-813F-7306CCDBB7F8}"/>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2 2 2" xfId="16942" xr:uid="{1C9829A5-9405-4D17-80E6-B959009CA746}"/>
    <cellStyle name="Currency 5 2 2 3 4 2 3" xfId="12725" xr:uid="{6BA6D87F-0A53-4937-855F-4A35371A467B}"/>
    <cellStyle name="Currency 5 2 2 3 4 3" xfId="5471" xr:uid="{00000000-0005-0000-0000-0000E50B0000}"/>
    <cellStyle name="Currency 5 2 2 3 4 3 2" xfId="14797" xr:uid="{40C3831B-CFC5-4468-B309-BE3EAD8DDC4B}"/>
    <cellStyle name="Currency 5 2 2 3 4 4" xfId="10580" xr:uid="{84481FB6-F8FD-4C15-BD62-0D80E46F9DE3}"/>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2 2 2" xfId="17355" xr:uid="{FD19AE83-4DC8-4F5F-83BC-DEB3E980EED0}"/>
    <cellStyle name="Currency 5 2 2 3 5 2 3" xfId="13138" xr:uid="{03197502-0592-4720-941F-99BC84F1F855}"/>
    <cellStyle name="Currency 5 2 2 3 5 3" xfId="5884" xr:uid="{00000000-0005-0000-0000-0000E90B0000}"/>
    <cellStyle name="Currency 5 2 2 3 5 3 2" xfId="15210" xr:uid="{4CE39615-E528-4FF8-978A-5F20321D6833}"/>
    <cellStyle name="Currency 5 2 2 3 5 4" xfId="10993" xr:uid="{CDA1EF52-9791-4E76-BFEC-1DB1B85BF34B}"/>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2 2 2" xfId="17768" xr:uid="{4CC26AFE-2B55-4C19-89CE-E8A72BACB6C0}"/>
    <cellStyle name="Currency 5 2 2 3 6 2 3" xfId="13551" xr:uid="{83822ED6-2CBE-40F0-AE2C-A8B335BE7193}"/>
    <cellStyle name="Currency 5 2 2 3 6 3" xfId="6297" xr:uid="{00000000-0005-0000-0000-0000ED0B0000}"/>
    <cellStyle name="Currency 5 2 2 3 6 3 2" xfId="15623" xr:uid="{ED86C571-BFD3-4BDD-85B8-4E978B3B92B4}"/>
    <cellStyle name="Currency 5 2 2 3 6 4" xfId="11406" xr:uid="{BBE87C9E-7A26-431C-90EA-6650D169E0A8}"/>
    <cellStyle name="Currency 5 2 2 3 7" xfId="2426" xr:uid="{00000000-0005-0000-0000-0000EE0B0000}"/>
    <cellStyle name="Currency 5 2 2 3 7 2" xfId="6710" xr:uid="{00000000-0005-0000-0000-0000EF0B0000}"/>
    <cellStyle name="Currency 5 2 2 3 7 2 2" xfId="16036" xr:uid="{665BF773-1E2B-4FEB-80DD-DDCD581E35D7}"/>
    <cellStyle name="Currency 5 2 2 3 7 3" xfId="11819" xr:uid="{9B69DE4A-CCFF-4A79-84ED-F49390EE3517}"/>
    <cellStyle name="Currency 5 2 2 3 8" xfId="2723" xr:uid="{00000000-0005-0000-0000-0000F00B0000}"/>
    <cellStyle name="Currency 5 2 2 3 9" xfId="2804" xr:uid="{00000000-0005-0000-0000-0000F10B0000}"/>
    <cellStyle name="Currency 5 2 2 3 9 2" xfId="7027" xr:uid="{00000000-0005-0000-0000-0000F20B0000}"/>
    <cellStyle name="Currency 5 2 2 3 9 2 2" xfId="16353" xr:uid="{B1729509-595E-4FFA-9432-9BBD3CCB042C}"/>
    <cellStyle name="Currency 5 2 2 3 9 3" xfId="12136" xr:uid="{CF0DD7F4-0047-4B3F-8EC6-538D3092E212}"/>
    <cellStyle name="Currency 5 2 2 4" xfId="202" xr:uid="{00000000-0005-0000-0000-0000F30B0000}"/>
    <cellStyle name="Currency 5 2 2 4 10" xfId="8994" xr:uid="{484CCE7A-1288-4C7F-ABD6-C45948DC4EC0}"/>
    <cellStyle name="Currency 5 2 2 4 10 2" xfId="18318" xr:uid="{051692AA-5D1E-44BD-995B-DA08239D0B5F}"/>
    <cellStyle name="Currency 5 2 2 4 11" xfId="9755" xr:uid="{FB862865-0580-4810-847B-17210436758B}"/>
    <cellStyle name="Currency 5 2 2 4 2" xfId="729" xr:uid="{00000000-0005-0000-0000-0000F40B0000}"/>
    <cellStyle name="Currency 5 2 2 4 2 2" xfId="2983" xr:uid="{00000000-0005-0000-0000-0000F50B0000}"/>
    <cellStyle name="Currency 5 2 2 4 2 2 2" xfId="7205" xr:uid="{00000000-0005-0000-0000-0000F60B0000}"/>
    <cellStyle name="Currency 5 2 2 4 2 2 2 2" xfId="16531" xr:uid="{950FF036-74F1-4E7E-AD83-266FCBCD51BA}"/>
    <cellStyle name="Currency 5 2 2 4 2 2 3" xfId="12314" xr:uid="{9C960694-8642-4BE3-9746-472A83D00E73}"/>
    <cellStyle name="Currency 5 2 2 4 2 3" xfId="5060" xr:uid="{00000000-0005-0000-0000-0000F70B0000}"/>
    <cellStyle name="Currency 5 2 2 4 2 3 2" xfId="14386" xr:uid="{02D33D2B-DDF8-4223-B676-4868294266B2}"/>
    <cellStyle name="Currency 5 2 2 4 2 4" xfId="9419" xr:uid="{F03E4D2E-3BA9-4D5B-9C35-959DB128CBAE}"/>
    <cellStyle name="Currency 5 2 2 4 2 4 2" xfId="18734" xr:uid="{C8851C49-85D5-49C6-BDB0-E80E3D54937B}"/>
    <cellStyle name="Currency 5 2 2 4 2 5" xfId="10169" xr:uid="{66CB7A66-6D47-4784-B2FB-17121E5DE7BC}"/>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2 2 2" xfId="16944" xr:uid="{DF8AC665-7ECE-4A03-935C-A2026A55E1F6}"/>
    <cellStyle name="Currency 5 2 2 4 3 2 3" xfId="12727" xr:uid="{BE7AC883-B0B1-497A-AB64-8B59D9829053}"/>
    <cellStyle name="Currency 5 2 2 4 3 3" xfId="5473" xr:uid="{00000000-0005-0000-0000-0000FB0B0000}"/>
    <cellStyle name="Currency 5 2 2 4 3 3 2" xfId="14799" xr:uid="{7E0EF65F-22CD-48F7-84EC-9E451A5272DE}"/>
    <cellStyle name="Currency 5 2 2 4 3 4" xfId="10582" xr:uid="{8847930D-55DC-494F-8866-ED3C9E22A1AE}"/>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2 2 2" xfId="17357" xr:uid="{BF5AE939-49DB-4F67-8D0C-386FCF177351}"/>
    <cellStyle name="Currency 5 2 2 4 4 2 3" xfId="13140" xr:uid="{2C6E7915-435A-481B-B69A-82BED5CEF9AB}"/>
    <cellStyle name="Currency 5 2 2 4 4 3" xfId="5886" xr:uid="{00000000-0005-0000-0000-0000FF0B0000}"/>
    <cellStyle name="Currency 5 2 2 4 4 3 2" xfId="15212" xr:uid="{FFC351DE-5E3A-4F91-9748-D14915138621}"/>
    <cellStyle name="Currency 5 2 2 4 4 4" xfId="10995" xr:uid="{592496DF-F709-431C-B2C0-30C64569FFE7}"/>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2 2 2" xfId="17770" xr:uid="{470C0907-BDD5-4410-AA9D-3A314C473284}"/>
    <cellStyle name="Currency 5 2 2 4 5 2 3" xfId="13553" xr:uid="{2222FA47-F8FA-4BEA-9570-3417650A0EA8}"/>
    <cellStyle name="Currency 5 2 2 4 5 3" xfId="6299" xr:uid="{00000000-0005-0000-0000-0000030C0000}"/>
    <cellStyle name="Currency 5 2 2 4 5 3 2" xfId="15625" xr:uid="{594E12B9-C99A-439C-93AE-769B25D4D286}"/>
    <cellStyle name="Currency 5 2 2 4 5 4" xfId="11408" xr:uid="{2972BCF6-6479-4C53-A7A7-96ABB58FE1F3}"/>
    <cellStyle name="Currency 5 2 2 4 6" xfId="2428" xr:uid="{00000000-0005-0000-0000-0000040C0000}"/>
    <cellStyle name="Currency 5 2 2 4 6 2" xfId="6712" xr:uid="{00000000-0005-0000-0000-0000050C0000}"/>
    <cellStyle name="Currency 5 2 2 4 6 2 2" xfId="16038" xr:uid="{712AB20A-92BD-44D2-97AF-A8334A7323C3}"/>
    <cellStyle name="Currency 5 2 2 4 6 3" xfId="11821" xr:uid="{762A498D-D368-416F-B2AA-479D1BE653D1}"/>
    <cellStyle name="Currency 5 2 2 4 7" xfId="2725" xr:uid="{00000000-0005-0000-0000-0000060C0000}"/>
    <cellStyle name="Currency 5 2 2 4 8" xfId="2806" xr:uid="{00000000-0005-0000-0000-0000070C0000}"/>
    <cellStyle name="Currency 5 2 2 4 8 2" xfId="7029" xr:uid="{00000000-0005-0000-0000-0000080C0000}"/>
    <cellStyle name="Currency 5 2 2 4 8 2 2" xfId="16355" xr:uid="{57699A7A-3864-4C61-AF5D-829A5F2BA76C}"/>
    <cellStyle name="Currency 5 2 2 4 8 3" xfId="12138" xr:uid="{1E538E58-9E1F-4681-AFAC-40307743EA07}"/>
    <cellStyle name="Currency 5 2 2 4 9" xfId="4646" xr:uid="{00000000-0005-0000-0000-0000090C0000}"/>
    <cellStyle name="Currency 5 2 2 4 9 2" xfId="13972" xr:uid="{409AD223-460B-45D3-8D7C-07451F02057F}"/>
    <cellStyle name="Currency 5 2 2 5" xfId="203" xr:uid="{00000000-0005-0000-0000-00000A0C0000}"/>
    <cellStyle name="Currency 5 2 2 5 10" xfId="9211" xr:uid="{586E1D8D-A72F-44A2-BAB5-A0BAD4827F6D}"/>
    <cellStyle name="Currency 5 2 2 5 10 2" xfId="18527" xr:uid="{91140B34-71D8-42B7-AF9C-8BA6F7EC9E9E}"/>
    <cellStyle name="Currency 5 2 2 5 11" xfId="9756" xr:uid="{91AE9295-F644-4E68-BACB-938D0F0D4809}"/>
    <cellStyle name="Currency 5 2 2 5 2" xfId="730" xr:uid="{00000000-0005-0000-0000-00000B0C0000}"/>
    <cellStyle name="Currency 5 2 2 5 2 2" xfId="2984" xr:uid="{00000000-0005-0000-0000-00000C0C0000}"/>
    <cellStyle name="Currency 5 2 2 5 2 2 2" xfId="7206" xr:uid="{00000000-0005-0000-0000-00000D0C0000}"/>
    <cellStyle name="Currency 5 2 2 5 2 2 2 2" xfId="16532" xr:uid="{0EC3AF55-2FC9-430C-8B27-587A94E668C0}"/>
    <cellStyle name="Currency 5 2 2 5 2 2 3" xfId="12315" xr:uid="{389E0018-AA34-419E-B1EA-F48695B13B1D}"/>
    <cellStyle name="Currency 5 2 2 5 2 3" xfId="5061" xr:uid="{00000000-0005-0000-0000-00000E0C0000}"/>
    <cellStyle name="Currency 5 2 2 5 2 3 2" xfId="14387" xr:uid="{D9182E8C-3DDA-4694-8556-00B0C2D7A981}"/>
    <cellStyle name="Currency 5 2 2 5 2 4" xfId="9598" xr:uid="{EBD3270B-608E-49E1-8A20-C5ADF81FBC1B}"/>
    <cellStyle name="Currency 5 2 2 5 2 4 2" xfId="18902" xr:uid="{CD3B6DB6-4A33-4ACC-A226-57E9E0DD260D}"/>
    <cellStyle name="Currency 5 2 2 5 2 5" xfId="10170" xr:uid="{DB14719B-9185-4C71-B0B3-FE9C1E355EEC}"/>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2 2 2" xfId="16945" xr:uid="{C23A0D31-F10C-4850-B1AB-67E22168576E}"/>
    <cellStyle name="Currency 5 2 2 5 3 2 3" xfId="12728" xr:uid="{78ED51BD-C822-4B3B-9D97-AFAFDA9AB44E}"/>
    <cellStyle name="Currency 5 2 2 5 3 3" xfId="5474" xr:uid="{00000000-0005-0000-0000-0000120C0000}"/>
    <cellStyle name="Currency 5 2 2 5 3 3 2" xfId="14800" xr:uid="{52309CCA-B8B4-496D-B5F9-871EF970B4DB}"/>
    <cellStyle name="Currency 5 2 2 5 3 4" xfId="10583" xr:uid="{BEE1C7A7-E528-4B4E-8B40-04EA975C1E52}"/>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2 2 2" xfId="17358" xr:uid="{C58C24BD-5D5A-4BEB-98FD-E28E263FD811}"/>
    <cellStyle name="Currency 5 2 2 5 4 2 3" xfId="13141" xr:uid="{63CA4D7A-232C-4AC5-BFB9-28D6D2B8515F}"/>
    <cellStyle name="Currency 5 2 2 5 4 3" xfId="5887" xr:uid="{00000000-0005-0000-0000-0000160C0000}"/>
    <cellStyle name="Currency 5 2 2 5 4 3 2" xfId="15213" xr:uid="{5F1F6108-45C5-4EEC-8E55-D03D72136BC2}"/>
    <cellStyle name="Currency 5 2 2 5 4 4" xfId="10996" xr:uid="{37D4CA3D-176D-4943-9BFB-C7CD5A317B07}"/>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2 2 2" xfId="17771" xr:uid="{69F86D20-E142-4AB6-8FE9-8ABAFA4E6C72}"/>
    <cellStyle name="Currency 5 2 2 5 5 2 3" xfId="13554" xr:uid="{30919AD1-2FDC-4455-97D8-2530D2C5F814}"/>
    <cellStyle name="Currency 5 2 2 5 5 3" xfId="6300" xr:uid="{00000000-0005-0000-0000-00001A0C0000}"/>
    <cellStyle name="Currency 5 2 2 5 5 3 2" xfId="15626" xr:uid="{E01A3497-A864-43BE-B291-B1B9A7B749B5}"/>
    <cellStyle name="Currency 5 2 2 5 5 4" xfId="11409" xr:uid="{F6EB8955-314A-4E95-A1E1-A4B357844457}"/>
    <cellStyle name="Currency 5 2 2 5 6" xfId="2429" xr:uid="{00000000-0005-0000-0000-00001B0C0000}"/>
    <cellStyle name="Currency 5 2 2 5 6 2" xfId="6713" xr:uid="{00000000-0005-0000-0000-00001C0C0000}"/>
    <cellStyle name="Currency 5 2 2 5 6 2 2" xfId="16039" xr:uid="{03DBDFD5-DF3A-455E-B473-27BC0D4307CA}"/>
    <cellStyle name="Currency 5 2 2 5 6 3" xfId="11822" xr:uid="{1F2BDCC9-98DA-4366-9AD7-31FED7766F88}"/>
    <cellStyle name="Currency 5 2 2 5 7" xfId="2726" xr:uid="{00000000-0005-0000-0000-00001D0C0000}"/>
    <cellStyle name="Currency 5 2 2 5 8" xfId="2807" xr:uid="{00000000-0005-0000-0000-00001E0C0000}"/>
    <cellStyle name="Currency 5 2 2 5 8 2" xfId="7030" xr:uid="{00000000-0005-0000-0000-00001F0C0000}"/>
    <cellStyle name="Currency 5 2 2 5 8 2 2" xfId="16356" xr:uid="{C93A5D2D-6C0B-470E-BC7F-89E4E12F7671}"/>
    <cellStyle name="Currency 5 2 2 5 8 3" xfId="12139" xr:uid="{186B2965-B2A7-47BB-A6BD-565BE6955FB9}"/>
    <cellStyle name="Currency 5 2 2 5 9" xfId="4647" xr:uid="{00000000-0005-0000-0000-0000200C0000}"/>
    <cellStyle name="Currency 5 2 2 5 9 2" xfId="13973" xr:uid="{26C565C3-53AB-4FC3-9108-5962150E12CA}"/>
    <cellStyle name="Currency 5 2 2 6" xfId="9584" xr:uid="{DC5749FB-A314-4F8C-B61F-309C27A570F5}"/>
    <cellStyle name="Currency 5 2 2 7" xfId="8787" xr:uid="{822EE7D8-70A6-49D7-843D-E84C848DC397}"/>
    <cellStyle name="Currency 5 2 2 7 2" xfId="18111" xr:uid="{6318F064-A77D-4002-A6E4-F395C3252E3D}"/>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0 2" xfId="13974" xr:uid="{FD48B4CB-4DDD-4232-924A-068C25D9DAAE}"/>
    <cellStyle name="Currency 5 2 4 11" xfId="8859" xr:uid="{D3A5F8AD-5F4E-4BEA-A9B4-9A705A015524}"/>
    <cellStyle name="Currency 5 2 4 11 2" xfId="18183" xr:uid="{4EAFE5D9-BAEC-4C53-9258-FA6169A57041}"/>
    <cellStyle name="Currency 5 2 4 12" xfId="9757" xr:uid="{33B5E978-8170-4EA8-8F86-9F8347C1AD44}"/>
    <cellStyle name="Currency 5 2 4 2" xfId="206" xr:uid="{00000000-0005-0000-0000-0000250C0000}"/>
    <cellStyle name="Currency 5 2 4 2 10" xfId="9066" xr:uid="{2F7A28AF-2120-4AAF-A58B-33C2E07F597D}"/>
    <cellStyle name="Currency 5 2 4 2 10 2" xfId="18390" xr:uid="{05660C8D-24BA-49ED-97B4-EABE72395FB3}"/>
    <cellStyle name="Currency 5 2 4 2 11" xfId="9758" xr:uid="{093F412E-07C0-452C-9780-54933E92619A}"/>
    <cellStyle name="Currency 5 2 4 2 2" xfId="733" xr:uid="{00000000-0005-0000-0000-0000260C0000}"/>
    <cellStyle name="Currency 5 2 4 2 2 2" xfId="2986" xr:uid="{00000000-0005-0000-0000-0000270C0000}"/>
    <cellStyle name="Currency 5 2 4 2 2 2 2" xfId="7208" xr:uid="{00000000-0005-0000-0000-0000280C0000}"/>
    <cellStyle name="Currency 5 2 4 2 2 2 2 2" xfId="16534" xr:uid="{3C3FDD34-7E46-40C0-B9DF-41C2DEB8DFAF}"/>
    <cellStyle name="Currency 5 2 4 2 2 2 3" xfId="12317" xr:uid="{52FE2375-4998-4607-BD7A-481D20B11F92}"/>
    <cellStyle name="Currency 5 2 4 2 2 3" xfId="5063" xr:uid="{00000000-0005-0000-0000-0000290C0000}"/>
    <cellStyle name="Currency 5 2 4 2 2 3 2" xfId="14389" xr:uid="{D70FF77C-17AF-4AD4-B52E-15EDF0249F60}"/>
    <cellStyle name="Currency 5 2 4 2 2 4" xfId="9491" xr:uid="{64B868C7-9024-4970-9E74-7DF82417BD7A}"/>
    <cellStyle name="Currency 5 2 4 2 2 4 2" xfId="18806" xr:uid="{12C00BCE-9AEA-4137-AC00-96CDEAC44AFB}"/>
    <cellStyle name="Currency 5 2 4 2 2 5" xfId="10172" xr:uid="{45C674A6-593D-427D-A642-1AF7ED762F00}"/>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2 2 2" xfId="16947" xr:uid="{0D94BBEF-C286-4364-A024-11C04B6BC40B}"/>
    <cellStyle name="Currency 5 2 4 2 3 2 3" xfId="12730" xr:uid="{28CCCCA0-9466-4C12-8F45-C0E5A70E5014}"/>
    <cellStyle name="Currency 5 2 4 2 3 3" xfId="5476" xr:uid="{00000000-0005-0000-0000-00002D0C0000}"/>
    <cellStyle name="Currency 5 2 4 2 3 3 2" xfId="14802" xr:uid="{7F107CE5-6A83-42D5-B034-DBC6468E48B2}"/>
    <cellStyle name="Currency 5 2 4 2 3 4" xfId="10585" xr:uid="{58506E3E-32B6-4AA3-A51B-A8CAF1F2D825}"/>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2 2 2" xfId="17360" xr:uid="{F5E05BEC-94C2-40EC-94C4-7CBB2C099B51}"/>
    <cellStyle name="Currency 5 2 4 2 4 2 3" xfId="13143" xr:uid="{5C2010DF-68AF-4C1A-832B-B237941EFFF8}"/>
    <cellStyle name="Currency 5 2 4 2 4 3" xfId="5889" xr:uid="{00000000-0005-0000-0000-0000310C0000}"/>
    <cellStyle name="Currency 5 2 4 2 4 3 2" xfId="15215" xr:uid="{5D8CDB86-4F8E-4063-84D4-429E220EF9E9}"/>
    <cellStyle name="Currency 5 2 4 2 4 4" xfId="10998" xr:uid="{9546499F-EC6A-482F-8318-90714D5959CC}"/>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2 2 2" xfId="17773" xr:uid="{CC1312A4-21BE-424B-8241-A7785256ED8F}"/>
    <cellStyle name="Currency 5 2 4 2 5 2 3" xfId="13556" xr:uid="{E070E119-A9DF-4076-902D-0BEBDBB93E33}"/>
    <cellStyle name="Currency 5 2 4 2 5 3" xfId="6302" xr:uid="{00000000-0005-0000-0000-0000350C0000}"/>
    <cellStyle name="Currency 5 2 4 2 5 3 2" xfId="15628" xr:uid="{2B5716D5-178D-4B58-8DAB-AEAE57D3B88B}"/>
    <cellStyle name="Currency 5 2 4 2 5 4" xfId="11411" xr:uid="{4AED0CF8-50FF-4CD4-8140-45ECB483C8D5}"/>
    <cellStyle name="Currency 5 2 4 2 6" xfId="2431" xr:uid="{00000000-0005-0000-0000-0000360C0000}"/>
    <cellStyle name="Currency 5 2 4 2 6 2" xfId="6715" xr:uid="{00000000-0005-0000-0000-0000370C0000}"/>
    <cellStyle name="Currency 5 2 4 2 6 2 2" xfId="16041" xr:uid="{A699AB8F-B0E8-4A94-B49E-7AAB90D9359D}"/>
    <cellStyle name="Currency 5 2 4 2 6 3" xfId="11824" xr:uid="{EA738F7F-E54B-4591-90BC-AAB4DA149C49}"/>
    <cellStyle name="Currency 5 2 4 2 7" xfId="2728" xr:uid="{00000000-0005-0000-0000-0000380C0000}"/>
    <cellStyle name="Currency 5 2 4 2 8" xfId="2809" xr:uid="{00000000-0005-0000-0000-0000390C0000}"/>
    <cellStyle name="Currency 5 2 4 2 8 2" xfId="7032" xr:uid="{00000000-0005-0000-0000-00003A0C0000}"/>
    <cellStyle name="Currency 5 2 4 2 8 2 2" xfId="16358" xr:uid="{C12B100E-BA33-4511-BB2B-70748E391614}"/>
    <cellStyle name="Currency 5 2 4 2 8 3" xfId="12141" xr:uid="{6DC3020A-E13B-4CFC-85FA-ED918C6B43C9}"/>
    <cellStyle name="Currency 5 2 4 2 9" xfId="4649" xr:uid="{00000000-0005-0000-0000-00003B0C0000}"/>
    <cellStyle name="Currency 5 2 4 2 9 2" xfId="13975" xr:uid="{0BE67916-4098-40AC-B5E6-B8DABC8F363D}"/>
    <cellStyle name="Currency 5 2 4 3" xfId="732" xr:uid="{00000000-0005-0000-0000-00003C0C0000}"/>
    <cellStyle name="Currency 5 2 4 3 2" xfId="2985" xr:uid="{00000000-0005-0000-0000-00003D0C0000}"/>
    <cellStyle name="Currency 5 2 4 3 2 2" xfId="7207" xr:uid="{00000000-0005-0000-0000-00003E0C0000}"/>
    <cellStyle name="Currency 5 2 4 3 2 2 2" xfId="16533" xr:uid="{F5956D51-DDED-4CE7-99F4-CF128BEE9976}"/>
    <cellStyle name="Currency 5 2 4 3 2 3" xfId="12316" xr:uid="{34884A5B-B923-4B49-BAF5-4476DB531EF2}"/>
    <cellStyle name="Currency 5 2 4 3 3" xfId="5062" xr:uid="{00000000-0005-0000-0000-00003F0C0000}"/>
    <cellStyle name="Currency 5 2 4 3 3 2" xfId="14388" xr:uid="{B20F2509-0560-46D5-90C3-4287C4353FDE}"/>
    <cellStyle name="Currency 5 2 4 3 4" xfId="9284" xr:uid="{1D0B72AC-AFAC-428F-8BF0-6DFF9565613D}"/>
    <cellStyle name="Currency 5 2 4 3 4 2" xfId="18599" xr:uid="{147CEE98-E04B-4C70-9785-1C29350A9DF1}"/>
    <cellStyle name="Currency 5 2 4 3 5" xfId="10171" xr:uid="{FCBA3C0A-5E7E-4B6A-8DF9-EFBBF6EB7C24}"/>
    <cellStyle name="Currency 5 2 4 4" xfId="1167" xr:uid="{00000000-0005-0000-0000-0000400C0000}"/>
    <cellStyle name="Currency 5 2 4 4 2" xfId="3398" xr:uid="{00000000-0005-0000-0000-0000410C0000}"/>
    <cellStyle name="Currency 5 2 4 4 2 2" xfId="7620" xr:uid="{00000000-0005-0000-0000-0000420C0000}"/>
    <cellStyle name="Currency 5 2 4 4 2 2 2" xfId="16946" xr:uid="{B9B02F15-5ED7-4834-AFD7-4453D15543E7}"/>
    <cellStyle name="Currency 5 2 4 4 2 3" xfId="12729" xr:uid="{F7BAB497-8971-451A-8661-7CFD4BCBFE94}"/>
    <cellStyle name="Currency 5 2 4 4 3" xfId="5475" xr:uid="{00000000-0005-0000-0000-0000430C0000}"/>
    <cellStyle name="Currency 5 2 4 4 3 2" xfId="14801" xr:uid="{8E08C84B-F208-4F21-8B29-AB2977325000}"/>
    <cellStyle name="Currency 5 2 4 4 4" xfId="10584" xr:uid="{19F093F9-4AB8-42A1-A4E7-41B7139A49BC}"/>
    <cellStyle name="Currency 5 2 4 5" xfId="1581" xr:uid="{00000000-0005-0000-0000-0000440C0000}"/>
    <cellStyle name="Currency 5 2 4 5 2" xfId="3811" xr:uid="{00000000-0005-0000-0000-0000450C0000}"/>
    <cellStyle name="Currency 5 2 4 5 2 2" xfId="8033" xr:uid="{00000000-0005-0000-0000-0000460C0000}"/>
    <cellStyle name="Currency 5 2 4 5 2 2 2" xfId="17359" xr:uid="{5F7189F2-C26B-480C-BA91-9329789A7217}"/>
    <cellStyle name="Currency 5 2 4 5 2 3" xfId="13142" xr:uid="{25DBB1F2-E401-4B7D-9959-2C33C3988D84}"/>
    <cellStyle name="Currency 5 2 4 5 3" xfId="5888" xr:uid="{00000000-0005-0000-0000-0000470C0000}"/>
    <cellStyle name="Currency 5 2 4 5 3 2" xfId="15214" xr:uid="{6AFB98B9-9913-4D6B-BB75-FEFDD393B71C}"/>
    <cellStyle name="Currency 5 2 4 5 4" xfId="10997" xr:uid="{60A3C9F1-44AC-4FD7-82E6-CCC11EFB087E}"/>
    <cellStyle name="Currency 5 2 4 6" xfId="1995" xr:uid="{00000000-0005-0000-0000-0000480C0000}"/>
    <cellStyle name="Currency 5 2 4 6 2" xfId="4224" xr:uid="{00000000-0005-0000-0000-0000490C0000}"/>
    <cellStyle name="Currency 5 2 4 6 2 2" xfId="8446" xr:uid="{00000000-0005-0000-0000-00004A0C0000}"/>
    <cellStyle name="Currency 5 2 4 6 2 2 2" xfId="17772" xr:uid="{34560A5F-AAC7-4C71-AFE6-DF0868E4E612}"/>
    <cellStyle name="Currency 5 2 4 6 2 3" xfId="13555" xr:uid="{BA406832-3E84-499C-9603-5B250B96F10A}"/>
    <cellStyle name="Currency 5 2 4 6 3" xfId="6301" xr:uid="{00000000-0005-0000-0000-00004B0C0000}"/>
    <cellStyle name="Currency 5 2 4 6 3 2" xfId="15627" xr:uid="{E51AF6D9-6CF8-4847-8EAC-4ED460EB9648}"/>
    <cellStyle name="Currency 5 2 4 6 4" xfId="11410" xr:uid="{B215C454-ADB0-4FFA-86E1-4F887732B5C5}"/>
    <cellStyle name="Currency 5 2 4 7" xfId="2430" xr:uid="{00000000-0005-0000-0000-00004C0C0000}"/>
    <cellStyle name="Currency 5 2 4 7 2" xfId="6714" xr:uid="{00000000-0005-0000-0000-00004D0C0000}"/>
    <cellStyle name="Currency 5 2 4 7 2 2" xfId="16040" xr:uid="{3F87A94A-D8E1-41DB-8655-8E00C046F1B7}"/>
    <cellStyle name="Currency 5 2 4 7 3" xfId="11823" xr:uid="{A5571934-C47B-4ADE-A78E-16ED9C3DC5DC}"/>
    <cellStyle name="Currency 5 2 4 8" xfId="2727" xr:uid="{00000000-0005-0000-0000-00004E0C0000}"/>
    <cellStyle name="Currency 5 2 4 9" xfId="2808" xr:uid="{00000000-0005-0000-0000-00004F0C0000}"/>
    <cellStyle name="Currency 5 2 4 9 2" xfId="7031" xr:uid="{00000000-0005-0000-0000-0000500C0000}"/>
    <cellStyle name="Currency 5 2 4 9 2 2" xfId="16357" xr:uid="{8868D3BB-DA67-41BC-8DCD-12505A09AA71}"/>
    <cellStyle name="Currency 5 2 4 9 3" xfId="12140" xr:uid="{7AB1F202-2A8F-4BA9-9E99-819D0F41F212}"/>
    <cellStyle name="Currency 5 2 5" xfId="207" xr:uid="{00000000-0005-0000-0000-0000510C0000}"/>
    <cellStyle name="Currency 5 2 5 10" xfId="8975" xr:uid="{3422EC31-C47F-46E0-A50C-FE05B1979387}"/>
    <cellStyle name="Currency 5 2 5 10 2" xfId="18299" xr:uid="{C765C998-7724-4A9F-82B1-02BFB9A2667E}"/>
    <cellStyle name="Currency 5 2 5 11" xfId="9759" xr:uid="{4B051511-D99D-45F7-B18F-132746785FCE}"/>
    <cellStyle name="Currency 5 2 5 2" xfId="734" xr:uid="{00000000-0005-0000-0000-0000520C0000}"/>
    <cellStyle name="Currency 5 2 5 2 2" xfId="2987" xr:uid="{00000000-0005-0000-0000-0000530C0000}"/>
    <cellStyle name="Currency 5 2 5 2 2 2" xfId="7209" xr:uid="{00000000-0005-0000-0000-0000540C0000}"/>
    <cellStyle name="Currency 5 2 5 2 2 2 2" xfId="16535" xr:uid="{3F4C3C65-3E22-4155-93F6-94ABAE339A3B}"/>
    <cellStyle name="Currency 5 2 5 2 2 3" xfId="12318" xr:uid="{6C1EBDDA-6537-4E24-A2D4-3BFB87AF2629}"/>
    <cellStyle name="Currency 5 2 5 2 3" xfId="5064" xr:uid="{00000000-0005-0000-0000-0000550C0000}"/>
    <cellStyle name="Currency 5 2 5 2 3 2" xfId="14390" xr:uid="{F1749A40-0431-42AF-AB85-41123ACA6F17}"/>
    <cellStyle name="Currency 5 2 5 2 4" xfId="9400" xr:uid="{6620DDCD-05C0-4AFD-8A83-F1190101CCB3}"/>
    <cellStyle name="Currency 5 2 5 2 4 2" xfId="18715" xr:uid="{4E63072C-9772-44E6-BBFD-403EBB60547E}"/>
    <cellStyle name="Currency 5 2 5 2 5" xfId="10173" xr:uid="{8C2C6EFE-3E20-4035-ABE2-258DC289944B}"/>
    <cellStyle name="Currency 5 2 5 3" xfId="1169" xr:uid="{00000000-0005-0000-0000-0000560C0000}"/>
    <cellStyle name="Currency 5 2 5 3 2" xfId="3400" xr:uid="{00000000-0005-0000-0000-0000570C0000}"/>
    <cellStyle name="Currency 5 2 5 3 2 2" xfId="7622" xr:uid="{00000000-0005-0000-0000-0000580C0000}"/>
    <cellStyle name="Currency 5 2 5 3 2 2 2" xfId="16948" xr:uid="{D987030D-5D32-4422-BFBC-526F4DA63141}"/>
    <cellStyle name="Currency 5 2 5 3 2 3" xfId="12731" xr:uid="{49347B6C-4369-4A32-99C8-64A9D853F966}"/>
    <cellStyle name="Currency 5 2 5 3 3" xfId="5477" xr:uid="{00000000-0005-0000-0000-0000590C0000}"/>
    <cellStyle name="Currency 5 2 5 3 3 2" xfId="14803" xr:uid="{A72DB53B-3370-4C82-8C96-1F57544E7E9D}"/>
    <cellStyle name="Currency 5 2 5 3 4" xfId="10586" xr:uid="{2B058BC8-9A7F-483F-A633-79ACB9CF7D3C}"/>
    <cellStyle name="Currency 5 2 5 4" xfId="1583" xr:uid="{00000000-0005-0000-0000-00005A0C0000}"/>
    <cellStyle name="Currency 5 2 5 4 2" xfId="3813" xr:uid="{00000000-0005-0000-0000-00005B0C0000}"/>
    <cellStyle name="Currency 5 2 5 4 2 2" xfId="8035" xr:uid="{00000000-0005-0000-0000-00005C0C0000}"/>
    <cellStyle name="Currency 5 2 5 4 2 2 2" xfId="17361" xr:uid="{073704B7-C9A4-400B-8258-D2A1B576E0A2}"/>
    <cellStyle name="Currency 5 2 5 4 2 3" xfId="13144" xr:uid="{19B5FE4B-45CD-4352-B7AA-4748302F426F}"/>
    <cellStyle name="Currency 5 2 5 4 3" xfId="5890" xr:uid="{00000000-0005-0000-0000-00005D0C0000}"/>
    <cellStyle name="Currency 5 2 5 4 3 2" xfId="15216" xr:uid="{A1153C6F-F0CB-4AFA-B720-F8F83BE68937}"/>
    <cellStyle name="Currency 5 2 5 4 4" xfId="10999" xr:uid="{62ECAFF7-1591-41DC-B9DC-097EE5A1A79C}"/>
    <cellStyle name="Currency 5 2 5 5" xfId="1997" xr:uid="{00000000-0005-0000-0000-00005E0C0000}"/>
    <cellStyle name="Currency 5 2 5 5 2" xfId="4226" xr:uid="{00000000-0005-0000-0000-00005F0C0000}"/>
    <cellStyle name="Currency 5 2 5 5 2 2" xfId="8448" xr:uid="{00000000-0005-0000-0000-0000600C0000}"/>
    <cellStyle name="Currency 5 2 5 5 2 2 2" xfId="17774" xr:uid="{60BCAE2B-4A89-40BC-B9A8-B616C0CEBC78}"/>
    <cellStyle name="Currency 5 2 5 5 2 3" xfId="13557" xr:uid="{07334C7F-E3CE-4F24-97DB-3E49106BC75D}"/>
    <cellStyle name="Currency 5 2 5 5 3" xfId="6303" xr:uid="{00000000-0005-0000-0000-0000610C0000}"/>
    <cellStyle name="Currency 5 2 5 5 3 2" xfId="15629" xr:uid="{FE59DC0A-904F-4FA8-AC14-CC762715D65A}"/>
    <cellStyle name="Currency 5 2 5 5 4" xfId="11412" xr:uid="{69C91386-E96E-4BC1-9567-4B98AEFF4E31}"/>
    <cellStyle name="Currency 5 2 5 6" xfId="2432" xr:uid="{00000000-0005-0000-0000-0000620C0000}"/>
    <cellStyle name="Currency 5 2 5 6 2" xfId="6716" xr:uid="{00000000-0005-0000-0000-0000630C0000}"/>
    <cellStyle name="Currency 5 2 5 6 2 2" xfId="16042" xr:uid="{CC22FBC8-A2D7-42FC-A2A6-5FCF87B9ECCE}"/>
    <cellStyle name="Currency 5 2 5 6 3" xfId="11825" xr:uid="{2570F2DB-F90D-472E-9404-5345E56A25F9}"/>
    <cellStyle name="Currency 5 2 5 7" xfId="2729" xr:uid="{00000000-0005-0000-0000-0000640C0000}"/>
    <cellStyle name="Currency 5 2 5 8" xfId="2810" xr:uid="{00000000-0005-0000-0000-0000650C0000}"/>
    <cellStyle name="Currency 5 2 5 8 2" xfId="7033" xr:uid="{00000000-0005-0000-0000-0000660C0000}"/>
    <cellStyle name="Currency 5 2 5 8 2 2" xfId="16359" xr:uid="{C6440C96-50ED-43B7-8412-3ABD700A8E06}"/>
    <cellStyle name="Currency 5 2 5 8 3" xfId="12142" xr:uid="{377466FB-EBA6-452C-8D82-8D1C60E62F72}"/>
    <cellStyle name="Currency 5 2 5 9" xfId="4650" xr:uid="{00000000-0005-0000-0000-0000670C0000}"/>
    <cellStyle name="Currency 5 2 5 9 2" xfId="13976" xr:uid="{A94391CF-7D9E-4D95-9752-72D415A9EC0E}"/>
    <cellStyle name="Currency 5 2 6" xfId="208" xr:uid="{00000000-0005-0000-0000-0000680C0000}"/>
    <cellStyle name="Currency 5 2 6 10" xfId="9178" xr:uid="{19F6D70E-88E4-4E39-A1A9-3FF3D840E2F9}"/>
    <cellStyle name="Currency 5 2 6 10 2" xfId="18496" xr:uid="{16B841AA-E5FF-4B22-9CCB-54EFE38552C8}"/>
    <cellStyle name="Currency 5 2 6 11" xfId="9760" xr:uid="{53D6D1A2-4E42-4F6D-B738-7966CE05B93F}"/>
    <cellStyle name="Currency 5 2 6 2" xfId="735" xr:uid="{00000000-0005-0000-0000-0000690C0000}"/>
    <cellStyle name="Currency 5 2 6 2 2" xfId="2988" xr:uid="{00000000-0005-0000-0000-00006A0C0000}"/>
    <cellStyle name="Currency 5 2 6 2 2 2" xfId="7210" xr:uid="{00000000-0005-0000-0000-00006B0C0000}"/>
    <cellStyle name="Currency 5 2 6 2 2 2 2" xfId="16536" xr:uid="{B2E2395F-7CC3-429E-B147-6D90F1A646E5}"/>
    <cellStyle name="Currency 5 2 6 2 2 3" xfId="12319" xr:uid="{73746061-7B92-476D-9ECD-E45230A772AF}"/>
    <cellStyle name="Currency 5 2 6 2 3" xfId="5065" xr:uid="{00000000-0005-0000-0000-00006C0C0000}"/>
    <cellStyle name="Currency 5 2 6 2 3 2" xfId="14391" xr:uid="{A2029832-F6DE-4D22-8B71-ADE8B6FBA226}"/>
    <cellStyle name="Currency 5 2 6 2 4" xfId="9599" xr:uid="{C2EE182C-D73D-4E6C-9671-0484CB4E8D68}"/>
    <cellStyle name="Currency 5 2 6 2 4 2" xfId="18903" xr:uid="{6B328F0B-612C-435B-8617-AE473EE5D102}"/>
    <cellStyle name="Currency 5 2 6 2 5" xfId="10174" xr:uid="{B0857F51-8A98-4E24-A473-C600CED90027}"/>
    <cellStyle name="Currency 5 2 6 3" xfId="1170" xr:uid="{00000000-0005-0000-0000-00006D0C0000}"/>
    <cellStyle name="Currency 5 2 6 3 2" xfId="3401" xr:uid="{00000000-0005-0000-0000-00006E0C0000}"/>
    <cellStyle name="Currency 5 2 6 3 2 2" xfId="7623" xr:uid="{00000000-0005-0000-0000-00006F0C0000}"/>
    <cellStyle name="Currency 5 2 6 3 2 2 2" xfId="16949" xr:uid="{0E6DFE61-3D93-49E4-A5D9-7F69677B68FE}"/>
    <cellStyle name="Currency 5 2 6 3 2 3" xfId="12732" xr:uid="{8725C476-7AFD-4EA7-92FE-D6DBA2470A18}"/>
    <cellStyle name="Currency 5 2 6 3 3" xfId="5478" xr:uid="{00000000-0005-0000-0000-0000700C0000}"/>
    <cellStyle name="Currency 5 2 6 3 3 2" xfId="14804" xr:uid="{056DA487-C1FF-4677-9D1B-A72D42C9A928}"/>
    <cellStyle name="Currency 5 2 6 3 4" xfId="10587" xr:uid="{95942698-0C0D-4D86-A798-64BA32A289FB}"/>
    <cellStyle name="Currency 5 2 6 4" xfId="1584" xr:uid="{00000000-0005-0000-0000-0000710C0000}"/>
    <cellStyle name="Currency 5 2 6 4 2" xfId="3814" xr:uid="{00000000-0005-0000-0000-0000720C0000}"/>
    <cellStyle name="Currency 5 2 6 4 2 2" xfId="8036" xr:uid="{00000000-0005-0000-0000-0000730C0000}"/>
    <cellStyle name="Currency 5 2 6 4 2 2 2" xfId="17362" xr:uid="{E6FFE490-5357-4BA6-8DF8-627360C7E094}"/>
    <cellStyle name="Currency 5 2 6 4 2 3" xfId="13145" xr:uid="{92D19085-283A-4656-B3E5-66D965C186AB}"/>
    <cellStyle name="Currency 5 2 6 4 3" xfId="5891" xr:uid="{00000000-0005-0000-0000-0000740C0000}"/>
    <cellStyle name="Currency 5 2 6 4 3 2" xfId="15217" xr:uid="{97138622-D895-450B-B6FA-B1A744B4354C}"/>
    <cellStyle name="Currency 5 2 6 4 4" xfId="11000" xr:uid="{FB2DE9FC-E637-4E30-9241-DCBF6AC9C18D}"/>
    <cellStyle name="Currency 5 2 6 5" xfId="1998" xr:uid="{00000000-0005-0000-0000-0000750C0000}"/>
    <cellStyle name="Currency 5 2 6 5 2" xfId="4227" xr:uid="{00000000-0005-0000-0000-0000760C0000}"/>
    <cellStyle name="Currency 5 2 6 5 2 2" xfId="8449" xr:uid="{00000000-0005-0000-0000-0000770C0000}"/>
    <cellStyle name="Currency 5 2 6 5 2 2 2" xfId="17775" xr:uid="{4B2FB469-B588-4312-B1C9-30E57D1CC1BA}"/>
    <cellStyle name="Currency 5 2 6 5 2 3" xfId="13558" xr:uid="{59105109-EBF3-474F-8F65-01531505501C}"/>
    <cellStyle name="Currency 5 2 6 5 3" xfId="6304" xr:uid="{00000000-0005-0000-0000-0000780C0000}"/>
    <cellStyle name="Currency 5 2 6 5 3 2" xfId="15630" xr:uid="{1D623075-CFF8-4353-8603-0125A2403689}"/>
    <cellStyle name="Currency 5 2 6 5 4" xfId="11413" xr:uid="{D2113467-8491-46DB-86CC-E2CDA7C3B87E}"/>
    <cellStyle name="Currency 5 2 6 6" xfId="2433" xr:uid="{00000000-0005-0000-0000-0000790C0000}"/>
    <cellStyle name="Currency 5 2 6 6 2" xfId="6717" xr:uid="{00000000-0005-0000-0000-00007A0C0000}"/>
    <cellStyle name="Currency 5 2 6 6 2 2" xfId="16043" xr:uid="{79746427-1356-4C32-A0BC-7391B88E8FB2}"/>
    <cellStyle name="Currency 5 2 6 6 3" xfId="11826" xr:uid="{FA2DDFE4-190A-446D-995F-1CBCDABC769F}"/>
    <cellStyle name="Currency 5 2 6 7" xfId="2730" xr:uid="{00000000-0005-0000-0000-00007B0C0000}"/>
    <cellStyle name="Currency 5 2 6 8" xfId="2811" xr:uid="{00000000-0005-0000-0000-00007C0C0000}"/>
    <cellStyle name="Currency 5 2 6 8 2" xfId="7034" xr:uid="{00000000-0005-0000-0000-00007D0C0000}"/>
    <cellStyle name="Currency 5 2 6 8 2 2" xfId="16360" xr:uid="{AF95DA93-117E-42CD-9811-5049191C1D68}"/>
    <cellStyle name="Currency 5 2 6 8 3" xfId="12143" xr:uid="{C30391AB-4127-4613-B857-AE9AB3D5F7D6}"/>
    <cellStyle name="Currency 5 2 6 9" xfId="4651" xr:uid="{00000000-0005-0000-0000-00007E0C0000}"/>
    <cellStyle name="Currency 5 2 6 9 2" xfId="13977" xr:uid="{1BFCB0FB-A0BD-4B6C-928B-2E503CB7A59B}"/>
    <cellStyle name="Currency 5 2 7" xfId="722" xr:uid="{00000000-0005-0000-0000-00007F0C0000}"/>
    <cellStyle name="Currency 5 2 8" xfId="8756" xr:uid="{D16196A2-D0A3-46A2-9B14-6B017B4CC82F}"/>
    <cellStyle name="Currency 5 2 8 2" xfId="18080" xr:uid="{E508181E-598C-46D1-8E7E-DA3813358078}"/>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0 2 2" xfId="16361" xr:uid="{C08BCB54-2909-4B10-91EB-0F3C17657E12}"/>
    <cellStyle name="Currency 5 3 2 10 3" xfId="12144" xr:uid="{8B8E94BA-CF99-46EE-A669-3098CC379E5B}"/>
    <cellStyle name="Currency 5 3 2 11" xfId="4652" xr:uid="{00000000-0005-0000-0000-0000840C0000}"/>
    <cellStyle name="Currency 5 3 2 11 2" xfId="13978" xr:uid="{8133E035-B3D2-41F9-A2BD-2B68F349901D}"/>
    <cellStyle name="Currency 5 3 2 12" xfId="8810" xr:uid="{C5234FF9-D509-4CD8-ADA1-D3604CCF3D1F}"/>
    <cellStyle name="Currency 5 3 2 12 2" xfId="18134" xr:uid="{59B5CFB3-A3D0-4854-A580-D0E146477359}"/>
    <cellStyle name="Currency 5 3 2 13" xfId="9761" xr:uid="{7B340180-B7DB-494E-B816-9ED4862CC36E}"/>
    <cellStyle name="Currency 5 3 2 2" xfId="211" xr:uid="{00000000-0005-0000-0000-0000850C0000}"/>
    <cellStyle name="Currency 5 3 2 2 10" xfId="4653" xr:uid="{00000000-0005-0000-0000-0000860C0000}"/>
    <cellStyle name="Currency 5 3 2 2 10 2" xfId="13979" xr:uid="{1096AC0F-5D12-4D3B-B5A4-058403E6846B}"/>
    <cellStyle name="Currency 5 3 2 2 11" xfId="8913" xr:uid="{FE033F82-2F16-4925-9899-F927AB9AA612}"/>
    <cellStyle name="Currency 5 3 2 2 11 2" xfId="18237" xr:uid="{9EF3596A-9FDF-463D-A823-B74BF34F02F1}"/>
    <cellStyle name="Currency 5 3 2 2 12" xfId="9762" xr:uid="{76B13358-B441-4604-BBEB-3678B196ACDA}"/>
    <cellStyle name="Currency 5 3 2 2 2" xfId="212" xr:uid="{00000000-0005-0000-0000-0000870C0000}"/>
    <cellStyle name="Currency 5 3 2 2 2 10" xfId="9120" xr:uid="{D5536A1F-8418-4CB5-B1E0-470AD716374A}"/>
    <cellStyle name="Currency 5 3 2 2 2 10 2" xfId="18444" xr:uid="{0D637659-0D93-481F-9ECC-C54CCD226BE4}"/>
    <cellStyle name="Currency 5 3 2 2 2 11" xfId="9763" xr:uid="{5AB5A492-DFC5-4F3D-B683-96D29AFA201F}"/>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2 2 2" xfId="16539" xr:uid="{03DEF81B-A5E7-4689-AC56-FE0B909821C8}"/>
    <cellStyle name="Currency 5 3 2 2 2 2 2 3" xfId="12322" xr:uid="{81323322-CF27-4C5B-BCCB-F2D683FE395D}"/>
    <cellStyle name="Currency 5 3 2 2 2 2 3" xfId="5068" xr:uid="{00000000-0005-0000-0000-00008B0C0000}"/>
    <cellStyle name="Currency 5 3 2 2 2 2 3 2" xfId="14394" xr:uid="{545BDD24-B664-4CA8-9757-39298D2174FF}"/>
    <cellStyle name="Currency 5 3 2 2 2 2 4" xfId="9545" xr:uid="{F6C268D6-0334-42F7-AE4F-535ADD09B625}"/>
    <cellStyle name="Currency 5 3 2 2 2 2 4 2" xfId="18860" xr:uid="{E4FC9B23-1AB6-43C0-85E1-D53B68CFD610}"/>
    <cellStyle name="Currency 5 3 2 2 2 2 5" xfId="10177" xr:uid="{FB3917BB-BBC1-4EDF-A901-DFF32ECB3DC6}"/>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2 2 2" xfId="16952" xr:uid="{0EF13CC7-065B-4128-A7BD-4309390D73E8}"/>
    <cellStyle name="Currency 5 3 2 2 2 3 2 3" xfId="12735" xr:uid="{38381438-0BB8-4DF7-98E4-E8F7D96B3291}"/>
    <cellStyle name="Currency 5 3 2 2 2 3 3" xfId="5481" xr:uid="{00000000-0005-0000-0000-00008F0C0000}"/>
    <cellStyle name="Currency 5 3 2 2 2 3 3 2" xfId="14807" xr:uid="{BA473921-3C63-4A7B-A2AA-20C7426C28BC}"/>
    <cellStyle name="Currency 5 3 2 2 2 3 4" xfId="10590" xr:uid="{68F61D1B-E55B-493A-A25E-DC017E28FD21}"/>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2 2 2" xfId="17365" xr:uid="{C2084385-CC64-4716-B7D2-904A8168ACF9}"/>
    <cellStyle name="Currency 5 3 2 2 2 4 2 3" xfId="13148" xr:uid="{18E737E2-792A-4DB9-B196-2E087899AED5}"/>
    <cellStyle name="Currency 5 3 2 2 2 4 3" xfId="5894" xr:uid="{00000000-0005-0000-0000-0000930C0000}"/>
    <cellStyle name="Currency 5 3 2 2 2 4 3 2" xfId="15220" xr:uid="{0FB87CC8-7E79-4544-8332-508BF800A924}"/>
    <cellStyle name="Currency 5 3 2 2 2 4 4" xfId="11003" xr:uid="{AEDC743A-36AB-42B6-BC68-AC3A1B20D57A}"/>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2 2 2" xfId="17778" xr:uid="{2DABBE49-20EA-4AA2-815B-072C189F0898}"/>
    <cellStyle name="Currency 5 3 2 2 2 5 2 3" xfId="13561" xr:uid="{DA471EB9-3B2A-4592-B206-1AC5D1FBB15D}"/>
    <cellStyle name="Currency 5 3 2 2 2 5 3" xfId="6307" xr:uid="{00000000-0005-0000-0000-0000970C0000}"/>
    <cellStyle name="Currency 5 3 2 2 2 5 3 2" xfId="15633" xr:uid="{8AFF15C6-A2B7-4D17-85C6-CA3E21256629}"/>
    <cellStyle name="Currency 5 3 2 2 2 5 4" xfId="11416" xr:uid="{56532B14-28B2-4074-9550-6A2BB2B9F007}"/>
    <cellStyle name="Currency 5 3 2 2 2 6" xfId="2436" xr:uid="{00000000-0005-0000-0000-0000980C0000}"/>
    <cellStyle name="Currency 5 3 2 2 2 6 2" xfId="6720" xr:uid="{00000000-0005-0000-0000-0000990C0000}"/>
    <cellStyle name="Currency 5 3 2 2 2 6 2 2" xfId="16046" xr:uid="{B66C20BA-E1E7-4DA2-807F-DEF957232B55}"/>
    <cellStyle name="Currency 5 3 2 2 2 6 3" xfId="11829" xr:uid="{FCF8BD45-203F-4E3B-8AEA-9D253F0ED62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8 2 2" xfId="16363" xr:uid="{5FF257AE-4E0C-4A4D-AAE3-2AEB9D8F0A99}"/>
    <cellStyle name="Currency 5 3 2 2 2 8 3" xfId="12146" xr:uid="{A00F2085-8265-4C6D-8D1B-C6F2B2B84F00}"/>
    <cellStyle name="Currency 5 3 2 2 2 9" xfId="4654" xr:uid="{00000000-0005-0000-0000-00009D0C0000}"/>
    <cellStyle name="Currency 5 3 2 2 2 9 2" xfId="13980" xr:uid="{36B580F1-A045-4787-8DAE-D6650965787D}"/>
    <cellStyle name="Currency 5 3 2 2 3" xfId="737" xr:uid="{00000000-0005-0000-0000-00009E0C0000}"/>
    <cellStyle name="Currency 5 3 2 2 3 2" xfId="2990" xr:uid="{00000000-0005-0000-0000-00009F0C0000}"/>
    <cellStyle name="Currency 5 3 2 2 3 2 2" xfId="7212" xr:uid="{00000000-0005-0000-0000-0000A00C0000}"/>
    <cellStyle name="Currency 5 3 2 2 3 2 2 2" xfId="16538" xr:uid="{0D34E3F0-ED61-4FD4-BB1C-21987BD8A304}"/>
    <cellStyle name="Currency 5 3 2 2 3 2 3" xfId="12321" xr:uid="{CA89A99A-8D02-4074-B8C8-BA01D087AF46}"/>
    <cellStyle name="Currency 5 3 2 2 3 3" xfId="5067" xr:uid="{00000000-0005-0000-0000-0000A10C0000}"/>
    <cellStyle name="Currency 5 3 2 2 3 3 2" xfId="14393" xr:uid="{2006FE70-E50E-4903-A7DD-80CF07F31CD5}"/>
    <cellStyle name="Currency 5 3 2 2 3 4" xfId="9338" xr:uid="{E79296CA-9516-4DDA-84B2-A3B13AAA9D9D}"/>
    <cellStyle name="Currency 5 3 2 2 3 4 2" xfId="18653" xr:uid="{11D60BD1-6721-41A7-A99D-C98FB4360164}"/>
    <cellStyle name="Currency 5 3 2 2 3 5" xfId="10176" xr:uid="{5641D473-6E9C-4A84-8388-8FED0C88B0F8}"/>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2 2 2" xfId="16951" xr:uid="{C2D5C926-F46D-404F-8072-1009AE44AC15}"/>
    <cellStyle name="Currency 5 3 2 2 4 2 3" xfId="12734" xr:uid="{7997E51B-07A7-4592-809E-48F674258ABF}"/>
    <cellStyle name="Currency 5 3 2 2 4 3" xfId="5480" xr:uid="{00000000-0005-0000-0000-0000A50C0000}"/>
    <cellStyle name="Currency 5 3 2 2 4 3 2" xfId="14806" xr:uid="{4BD4D1EF-82B5-4F1C-8DAB-10287C4D7E26}"/>
    <cellStyle name="Currency 5 3 2 2 4 4" xfId="10589" xr:uid="{166369CC-2329-4068-B7F7-71EFAA777C98}"/>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2 2 2" xfId="17364" xr:uid="{F415ADFE-8F7C-48DF-ACA6-60192B9C2FE0}"/>
    <cellStyle name="Currency 5 3 2 2 5 2 3" xfId="13147" xr:uid="{DD881D3F-7641-46D9-A358-F8A2AB85E45A}"/>
    <cellStyle name="Currency 5 3 2 2 5 3" xfId="5893" xr:uid="{00000000-0005-0000-0000-0000A90C0000}"/>
    <cellStyle name="Currency 5 3 2 2 5 3 2" xfId="15219" xr:uid="{02B15B74-A9B0-4ACE-A0D2-CB787C9990C6}"/>
    <cellStyle name="Currency 5 3 2 2 5 4" xfId="11002" xr:uid="{6FE7BA40-AEA2-4C24-B5B4-50D3CB38BB12}"/>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2 2 2" xfId="17777" xr:uid="{65019C97-8A29-4619-B20E-54A30D0CFD61}"/>
    <cellStyle name="Currency 5 3 2 2 6 2 3" xfId="13560" xr:uid="{49F39DEF-3978-4706-88F6-9039D9011CE1}"/>
    <cellStyle name="Currency 5 3 2 2 6 3" xfId="6306" xr:uid="{00000000-0005-0000-0000-0000AD0C0000}"/>
    <cellStyle name="Currency 5 3 2 2 6 3 2" xfId="15632" xr:uid="{6E7CA191-1E4D-4D8C-9B09-6A4E530CA223}"/>
    <cellStyle name="Currency 5 3 2 2 6 4" xfId="11415" xr:uid="{08F55235-76C8-41D2-9E7B-992A9238B831}"/>
    <cellStyle name="Currency 5 3 2 2 7" xfId="2435" xr:uid="{00000000-0005-0000-0000-0000AE0C0000}"/>
    <cellStyle name="Currency 5 3 2 2 7 2" xfId="6719" xr:uid="{00000000-0005-0000-0000-0000AF0C0000}"/>
    <cellStyle name="Currency 5 3 2 2 7 2 2" xfId="16045" xr:uid="{D6E0B7D2-9B1F-4EA0-8009-9383B291A854}"/>
    <cellStyle name="Currency 5 3 2 2 7 3" xfId="11828" xr:uid="{C5831F00-B1E7-48BC-9D1B-E3F27DCF66B2}"/>
    <cellStyle name="Currency 5 3 2 2 8" xfId="2732" xr:uid="{00000000-0005-0000-0000-0000B00C0000}"/>
    <cellStyle name="Currency 5 3 2 2 9" xfId="2813" xr:uid="{00000000-0005-0000-0000-0000B10C0000}"/>
    <cellStyle name="Currency 5 3 2 2 9 2" xfId="7036" xr:uid="{00000000-0005-0000-0000-0000B20C0000}"/>
    <cellStyle name="Currency 5 3 2 2 9 2 2" xfId="16362" xr:uid="{7A7280D6-86C2-44EA-9E6F-2ACE545499A9}"/>
    <cellStyle name="Currency 5 3 2 2 9 3" xfId="12145" xr:uid="{BE4EFA0E-A57C-4CC4-83BF-FD3CCAD91CE9}"/>
    <cellStyle name="Currency 5 3 2 3" xfId="213" xr:uid="{00000000-0005-0000-0000-0000B30C0000}"/>
    <cellStyle name="Currency 5 3 2 3 10" xfId="9017" xr:uid="{A6213F8D-EE09-4095-B9BE-99C55DEE210F}"/>
    <cellStyle name="Currency 5 3 2 3 10 2" xfId="18341" xr:uid="{3B6D7D3C-DD9C-4D29-87FF-1852049F62E8}"/>
    <cellStyle name="Currency 5 3 2 3 11" xfId="9764" xr:uid="{2C41AEED-2E0E-4481-A525-7B5BBC1288A1}"/>
    <cellStyle name="Currency 5 3 2 3 2" xfId="739" xr:uid="{00000000-0005-0000-0000-0000B40C0000}"/>
    <cellStyle name="Currency 5 3 2 3 2 2" xfId="2992" xr:uid="{00000000-0005-0000-0000-0000B50C0000}"/>
    <cellStyle name="Currency 5 3 2 3 2 2 2" xfId="7214" xr:uid="{00000000-0005-0000-0000-0000B60C0000}"/>
    <cellStyle name="Currency 5 3 2 3 2 2 2 2" xfId="16540" xr:uid="{7BAD8F64-3E09-4F0E-A27E-89073B71B551}"/>
    <cellStyle name="Currency 5 3 2 3 2 2 3" xfId="12323" xr:uid="{4774BCEB-2C3B-4F9A-BC36-47C16F20F689}"/>
    <cellStyle name="Currency 5 3 2 3 2 3" xfId="5069" xr:uid="{00000000-0005-0000-0000-0000B70C0000}"/>
    <cellStyle name="Currency 5 3 2 3 2 3 2" xfId="14395" xr:uid="{4B54FBCB-C6CB-42C5-B103-8316E6B79C11}"/>
    <cellStyle name="Currency 5 3 2 3 2 4" xfId="9442" xr:uid="{AE48BD1F-B5DA-4007-BBEE-128FE2FE74D7}"/>
    <cellStyle name="Currency 5 3 2 3 2 4 2" xfId="18757" xr:uid="{B670F7BA-B31A-49ED-AEB4-1782713279BD}"/>
    <cellStyle name="Currency 5 3 2 3 2 5" xfId="10178" xr:uid="{E76AD24C-35C9-4BD2-8E30-F6921E8CA818}"/>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2 2 2" xfId="16953" xr:uid="{99B889E9-FEAF-4E17-BB72-5DFE6406BCD4}"/>
    <cellStyle name="Currency 5 3 2 3 3 2 3" xfId="12736" xr:uid="{359B8ED7-02D8-493C-9810-85CBCF1D45D2}"/>
    <cellStyle name="Currency 5 3 2 3 3 3" xfId="5482" xr:uid="{00000000-0005-0000-0000-0000BB0C0000}"/>
    <cellStyle name="Currency 5 3 2 3 3 3 2" xfId="14808" xr:uid="{055B562E-C3D6-4A1A-BBB0-66EF501F3F97}"/>
    <cellStyle name="Currency 5 3 2 3 3 4" xfId="10591" xr:uid="{27461D7C-8939-44D6-B254-AE609A63CE66}"/>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2 2 2" xfId="17366" xr:uid="{917464CA-01F4-45A2-BADB-1F371B275A4A}"/>
    <cellStyle name="Currency 5 3 2 3 4 2 3" xfId="13149" xr:uid="{86345CBC-341D-450C-BB0E-6DD67A76BF6F}"/>
    <cellStyle name="Currency 5 3 2 3 4 3" xfId="5895" xr:uid="{00000000-0005-0000-0000-0000BF0C0000}"/>
    <cellStyle name="Currency 5 3 2 3 4 3 2" xfId="15221" xr:uid="{81763215-A5A6-4D46-A324-7B5F5F08A67D}"/>
    <cellStyle name="Currency 5 3 2 3 4 4" xfId="11004" xr:uid="{7BBC91AA-9E4B-4CCD-B1C2-D4C4B09C5A79}"/>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2 2 2" xfId="17779" xr:uid="{C738B5D2-15EE-4804-A64B-811C4B43E26C}"/>
    <cellStyle name="Currency 5 3 2 3 5 2 3" xfId="13562" xr:uid="{E46EC763-B1B5-476D-8A83-F9C4D1F4D094}"/>
    <cellStyle name="Currency 5 3 2 3 5 3" xfId="6308" xr:uid="{00000000-0005-0000-0000-0000C30C0000}"/>
    <cellStyle name="Currency 5 3 2 3 5 3 2" xfId="15634" xr:uid="{C5F73CDD-FB24-410F-A46F-0E2AED53C65C}"/>
    <cellStyle name="Currency 5 3 2 3 5 4" xfId="11417" xr:uid="{B96E83FE-2FF4-4895-99B2-10EF03C226F3}"/>
    <cellStyle name="Currency 5 3 2 3 6" xfId="2437" xr:uid="{00000000-0005-0000-0000-0000C40C0000}"/>
    <cellStyle name="Currency 5 3 2 3 6 2" xfId="6721" xr:uid="{00000000-0005-0000-0000-0000C50C0000}"/>
    <cellStyle name="Currency 5 3 2 3 6 2 2" xfId="16047" xr:uid="{0F631CF3-3D1C-464B-BD03-0C8646F3AB8D}"/>
    <cellStyle name="Currency 5 3 2 3 6 3" xfId="11830" xr:uid="{B1A17698-08C6-42E2-A342-359B81C1F469}"/>
    <cellStyle name="Currency 5 3 2 3 7" xfId="2734" xr:uid="{00000000-0005-0000-0000-0000C60C0000}"/>
    <cellStyle name="Currency 5 3 2 3 8" xfId="2815" xr:uid="{00000000-0005-0000-0000-0000C70C0000}"/>
    <cellStyle name="Currency 5 3 2 3 8 2" xfId="7038" xr:uid="{00000000-0005-0000-0000-0000C80C0000}"/>
    <cellStyle name="Currency 5 3 2 3 8 2 2" xfId="16364" xr:uid="{486D6A9C-249A-4CB3-AFD6-0F973605442E}"/>
    <cellStyle name="Currency 5 3 2 3 8 3" xfId="12147" xr:uid="{D8763AD0-656E-49F9-A718-27E62BEA2938}"/>
    <cellStyle name="Currency 5 3 2 3 9" xfId="4655" xr:uid="{00000000-0005-0000-0000-0000C90C0000}"/>
    <cellStyle name="Currency 5 3 2 3 9 2" xfId="13981" xr:uid="{C54155FA-FB65-402C-9148-176E60A9B7E2}"/>
    <cellStyle name="Currency 5 3 2 4" xfId="736" xr:uid="{00000000-0005-0000-0000-0000CA0C0000}"/>
    <cellStyle name="Currency 5 3 2 4 2" xfId="2989" xr:uid="{00000000-0005-0000-0000-0000CB0C0000}"/>
    <cellStyle name="Currency 5 3 2 4 2 2" xfId="7211" xr:uid="{00000000-0005-0000-0000-0000CC0C0000}"/>
    <cellStyle name="Currency 5 3 2 4 2 2 2" xfId="16537" xr:uid="{5BD025F8-88C9-45FE-ACBB-E0962501DDE4}"/>
    <cellStyle name="Currency 5 3 2 4 2 3" xfId="12320" xr:uid="{C0590AA5-D901-4B57-ABC2-736F2CCEC938}"/>
    <cellStyle name="Currency 5 3 2 4 3" xfId="5066" xr:uid="{00000000-0005-0000-0000-0000CD0C0000}"/>
    <cellStyle name="Currency 5 3 2 4 3 2" xfId="14392" xr:uid="{E976B814-F8A7-4403-8B14-CB8095F8FAB4}"/>
    <cellStyle name="Currency 5 3 2 4 4" xfId="9235" xr:uid="{F2FD4117-6EF1-4663-964A-AB5B57E6F469}"/>
    <cellStyle name="Currency 5 3 2 4 4 2" xfId="18550" xr:uid="{BF4A41F9-027E-4697-A0FA-2582CA0851E2}"/>
    <cellStyle name="Currency 5 3 2 4 5" xfId="10175" xr:uid="{2CAF9FC2-62D0-4191-BB27-0AAF9250A10C}"/>
    <cellStyle name="Currency 5 3 2 5" xfId="1171" xr:uid="{00000000-0005-0000-0000-0000CE0C0000}"/>
    <cellStyle name="Currency 5 3 2 5 2" xfId="3402" xr:uid="{00000000-0005-0000-0000-0000CF0C0000}"/>
    <cellStyle name="Currency 5 3 2 5 2 2" xfId="7624" xr:uid="{00000000-0005-0000-0000-0000D00C0000}"/>
    <cellStyle name="Currency 5 3 2 5 2 2 2" xfId="16950" xr:uid="{A8BCF6C7-5B77-41A6-9921-6DC8318192B3}"/>
    <cellStyle name="Currency 5 3 2 5 2 3" xfId="12733" xr:uid="{C04F4077-23FD-4014-BEAA-E53E01483EC0}"/>
    <cellStyle name="Currency 5 3 2 5 3" xfId="5479" xr:uid="{00000000-0005-0000-0000-0000D10C0000}"/>
    <cellStyle name="Currency 5 3 2 5 3 2" xfId="14805" xr:uid="{6054D739-5308-47DC-9A7A-83D9997053FE}"/>
    <cellStyle name="Currency 5 3 2 5 4" xfId="10588" xr:uid="{9B97CDA1-E976-4818-AFDC-BD8B295B7AF6}"/>
    <cellStyle name="Currency 5 3 2 6" xfId="1585" xr:uid="{00000000-0005-0000-0000-0000D20C0000}"/>
    <cellStyle name="Currency 5 3 2 6 2" xfId="3815" xr:uid="{00000000-0005-0000-0000-0000D30C0000}"/>
    <cellStyle name="Currency 5 3 2 6 2 2" xfId="8037" xr:uid="{00000000-0005-0000-0000-0000D40C0000}"/>
    <cellStyle name="Currency 5 3 2 6 2 2 2" xfId="17363" xr:uid="{BD1F8F7A-BF46-4991-BAC1-F503055441DA}"/>
    <cellStyle name="Currency 5 3 2 6 2 3" xfId="13146" xr:uid="{E5A5485A-04AC-460B-84F4-4878444D0BA5}"/>
    <cellStyle name="Currency 5 3 2 6 3" xfId="5892" xr:uid="{00000000-0005-0000-0000-0000D50C0000}"/>
    <cellStyle name="Currency 5 3 2 6 3 2" xfId="15218" xr:uid="{BC6C4773-7597-413D-9AA4-73AAB741619B}"/>
    <cellStyle name="Currency 5 3 2 6 4" xfId="11001" xr:uid="{B6AAFDD1-1C11-41C8-AC57-08F8A5D1F633}"/>
    <cellStyle name="Currency 5 3 2 7" xfId="1999" xr:uid="{00000000-0005-0000-0000-0000D60C0000}"/>
    <cellStyle name="Currency 5 3 2 7 2" xfId="4228" xr:uid="{00000000-0005-0000-0000-0000D70C0000}"/>
    <cellStyle name="Currency 5 3 2 7 2 2" xfId="8450" xr:uid="{00000000-0005-0000-0000-0000D80C0000}"/>
    <cellStyle name="Currency 5 3 2 7 2 2 2" xfId="17776" xr:uid="{5E0769FE-38D2-4ABD-BDF9-3601250B3CDE}"/>
    <cellStyle name="Currency 5 3 2 7 2 3" xfId="13559" xr:uid="{378ECD77-E8BF-4124-950C-1F0993117DC7}"/>
    <cellStyle name="Currency 5 3 2 7 3" xfId="6305" xr:uid="{00000000-0005-0000-0000-0000D90C0000}"/>
    <cellStyle name="Currency 5 3 2 7 3 2" xfId="15631" xr:uid="{C41403A5-3DF6-44C0-BF6A-252C4C71F573}"/>
    <cellStyle name="Currency 5 3 2 7 4" xfId="11414" xr:uid="{6802994F-D0A2-4D78-BD55-C3A1B3F11A06}"/>
    <cellStyle name="Currency 5 3 2 8" xfId="2434" xr:uid="{00000000-0005-0000-0000-0000DA0C0000}"/>
    <cellStyle name="Currency 5 3 2 8 2" xfId="6718" xr:uid="{00000000-0005-0000-0000-0000DB0C0000}"/>
    <cellStyle name="Currency 5 3 2 8 2 2" xfId="16044" xr:uid="{20A60FA7-4D69-48AB-9A88-12CED487FD56}"/>
    <cellStyle name="Currency 5 3 2 8 3" xfId="11827" xr:uid="{BA0E0F29-C075-4816-A390-44EE58C1A80B}"/>
    <cellStyle name="Currency 5 3 2 9" xfId="2731" xr:uid="{00000000-0005-0000-0000-0000DC0C0000}"/>
    <cellStyle name="Currency 5 3 3" xfId="214" xr:uid="{00000000-0005-0000-0000-0000DD0C0000}"/>
    <cellStyle name="Currency 5 3 3 10" xfId="4656" xr:uid="{00000000-0005-0000-0000-0000DE0C0000}"/>
    <cellStyle name="Currency 5 3 3 10 2" xfId="13982" xr:uid="{ACEFACD0-3E1C-4210-99BA-FE9C36629F79}"/>
    <cellStyle name="Currency 5 3 3 11" xfId="8882" xr:uid="{A86B3ED4-B552-42F3-9E77-C6763F86EEE6}"/>
    <cellStyle name="Currency 5 3 3 11 2" xfId="18206" xr:uid="{BCFB1A32-307C-470C-B16C-AD7C976127D0}"/>
    <cellStyle name="Currency 5 3 3 12" xfId="9765" xr:uid="{2215FB74-C3B2-4B61-843A-CD5D68B18A50}"/>
    <cellStyle name="Currency 5 3 3 2" xfId="215" xr:uid="{00000000-0005-0000-0000-0000DF0C0000}"/>
    <cellStyle name="Currency 5 3 3 2 10" xfId="9089" xr:uid="{7CFB8DCC-02AE-4CC5-8E10-3D33399ECECE}"/>
    <cellStyle name="Currency 5 3 3 2 10 2" xfId="18413" xr:uid="{463FD57C-65C2-42F8-8321-1EADDE126F80}"/>
    <cellStyle name="Currency 5 3 3 2 11" xfId="9766" xr:uid="{9A2DF1AF-B4A9-47CC-B304-BCA705CA01E2}"/>
    <cellStyle name="Currency 5 3 3 2 2" xfId="741" xr:uid="{00000000-0005-0000-0000-0000E00C0000}"/>
    <cellStyle name="Currency 5 3 3 2 2 2" xfId="2994" xr:uid="{00000000-0005-0000-0000-0000E10C0000}"/>
    <cellStyle name="Currency 5 3 3 2 2 2 2" xfId="7216" xr:uid="{00000000-0005-0000-0000-0000E20C0000}"/>
    <cellStyle name="Currency 5 3 3 2 2 2 2 2" xfId="16542" xr:uid="{1D5B1CD4-CA6C-4654-9FA0-7743FE425FD1}"/>
    <cellStyle name="Currency 5 3 3 2 2 2 3" xfId="12325" xr:uid="{8B41C648-F1AF-4604-B3CE-8CB2B4A7FB66}"/>
    <cellStyle name="Currency 5 3 3 2 2 3" xfId="5071" xr:uid="{00000000-0005-0000-0000-0000E30C0000}"/>
    <cellStyle name="Currency 5 3 3 2 2 3 2" xfId="14397" xr:uid="{75595DC8-CEB9-47A5-BD88-89F4A7B3482D}"/>
    <cellStyle name="Currency 5 3 3 2 2 4" xfId="9514" xr:uid="{9A504F43-6423-4200-B7AF-F17B65B2005C}"/>
    <cellStyle name="Currency 5 3 3 2 2 4 2" xfId="18829" xr:uid="{D48853FC-4EE7-4ED5-9349-7E8B5A648182}"/>
    <cellStyle name="Currency 5 3 3 2 2 5" xfId="10180" xr:uid="{47CF217D-9C01-4FCD-BA26-B0098AF7736F}"/>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2 2 2" xfId="16955" xr:uid="{8788CF5E-5147-42BB-884A-899BF8ADF09B}"/>
    <cellStyle name="Currency 5 3 3 2 3 2 3" xfId="12738" xr:uid="{43762919-02D3-442F-8402-685E0924995F}"/>
    <cellStyle name="Currency 5 3 3 2 3 3" xfId="5484" xr:uid="{00000000-0005-0000-0000-0000E70C0000}"/>
    <cellStyle name="Currency 5 3 3 2 3 3 2" xfId="14810" xr:uid="{B54E41CF-23DC-467C-877B-A2F6B6A793B3}"/>
    <cellStyle name="Currency 5 3 3 2 3 4" xfId="10593" xr:uid="{1A3600DB-D805-4A48-87F5-36F2137708A4}"/>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2 2 2" xfId="17368" xr:uid="{AFADB10D-E1BA-474F-BF4F-E8A8CD35E118}"/>
    <cellStyle name="Currency 5 3 3 2 4 2 3" xfId="13151" xr:uid="{2829731F-BDE5-42F1-993B-5226DB3260A3}"/>
    <cellStyle name="Currency 5 3 3 2 4 3" xfId="5897" xr:uid="{00000000-0005-0000-0000-0000EB0C0000}"/>
    <cellStyle name="Currency 5 3 3 2 4 3 2" xfId="15223" xr:uid="{74181BFE-6540-4D8A-BF5E-FBA8E56BA735}"/>
    <cellStyle name="Currency 5 3 3 2 4 4" xfId="11006" xr:uid="{281AE92C-CDDC-4DB2-98C8-3A62B01951D4}"/>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2 2 2" xfId="17781" xr:uid="{41958936-EC59-4E60-9573-64C69DD5BD84}"/>
    <cellStyle name="Currency 5 3 3 2 5 2 3" xfId="13564" xr:uid="{253A8583-14B4-4DA1-9790-CE25C4E6180D}"/>
    <cellStyle name="Currency 5 3 3 2 5 3" xfId="6310" xr:uid="{00000000-0005-0000-0000-0000EF0C0000}"/>
    <cellStyle name="Currency 5 3 3 2 5 3 2" xfId="15636" xr:uid="{1D95DBD8-4228-4C38-BE6E-054FD0B8F8EB}"/>
    <cellStyle name="Currency 5 3 3 2 5 4" xfId="11419" xr:uid="{B3C481E4-DD95-4EC9-885A-B7CDF2FB4E18}"/>
    <cellStyle name="Currency 5 3 3 2 6" xfId="2439" xr:uid="{00000000-0005-0000-0000-0000F00C0000}"/>
    <cellStyle name="Currency 5 3 3 2 6 2" xfId="6723" xr:uid="{00000000-0005-0000-0000-0000F10C0000}"/>
    <cellStyle name="Currency 5 3 3 2 6 2 2" xfId="16049" xr:uid="{AA5AC047-97E1-401B-BC28-2E958A6648C1}"/>
    <cellStyle name="Currency 5 3 3 2 6 3" xfId="11832" xr:uid="{4BF11828-660E-48CD-AAC5-928A05749A42}"/>
    <cellStyle name="Currency 5 3 3 2 7" xfId="2736" xr:uid="{00000000-0005-0000-0000-0000F20C0000}"/>
    <cellStyle name="Currency 5 3 3 2 8" xfId="2817" xr:uid="{00000000-0005-0000-0000-0000F30C0000}"/>
    <cellStyle name="Currency 5 3 3 2 8 2" xfId="7040" xr:uid="{00000000-0005-0000-0000-0000F40C0000}"/>
    <cellStyle name="Currency 5 3 3 2 8 2 2" xfId="16366" xr:uid="{CCCAE270-1FDF-43CC-B964-811A379A9876}"/>
    <cellStyle name="Currency 5 3 3 2 8 3" xfId="12149" xr:uid="{CEC10B74-BC52-4755-ABC6-BFEC27B81E24}"/>
    <cellStyle name="Currency 5 3 3 2 9" xfId="4657" xr:uid="{00000000-0005-0000-0000-0000F50C0000}"/>
    <cellStyle name="Currency 5 3 3 2 9 2" xfId="13983" xr:uid="{D7E74B17-3431-4FC4-B50E-BF8D4A19981A}"/>
    <cellStyle name="Currency 5 3 3 3" xfId="740" xr:uid="{00000000-0005-0000-0000-0000F60C0000}"/>
    <cellStyle name="Currency 5 3 3 3 2" xfId="2993" xr:uid="{00000000-0005-0000-0000-0000F70C0000}"/>
    <cellStyle name="Currency 5 3 3 3 2 2" xfId="7215" xr:uid="{00000000-0005-0000-0000-0000F80C0000}"/>
    <cellStyle name="Currency 5 3 3 3 2 2 2" xfId="16541" xr:uid="{4F0E5B13-D4F0-4F90-86D2-1C5AC1906F9A}"/>
    <cellStyle name="Currency 5 3 3 3 2 3" xfId="12324" xr:uid="{DE327DA2-D4ED-44C4-A952-DE3854482FD9}"/>
    <cellStyle name="Currency 5 3 3 3 3" xfId="5070" xr:uid="{00000000-0005-0000-0000-0000F90C0000}"/>
    <cellStyle name="Currency 5 3 3 3 3 2" xfId="14396" xr:uid="{FF312D14-74EA-4B3E-AEB1-99E1C1FEC6BC}"/>
    <cellStyle name="Currency 5 3 3 3 4" xfId="9307" xr:uid="{3F0512A0-B779-46E4-A963-62E327C6AC5F}"/>
    <cellStyle name="Currency 5 3 3 3 4 2" xfId="18622" xr:uid="{142CBFA1-02DF-40AE-8B20-7BB29BE19D6A}"/>
    <cellStyle name="Currency 5 3 3 3 5" xfId="10179" xr:uid="{5C5A5D81-F974-46AE-85D6-E3A0EECA45B2}"/>
    <cellStyle name="Currency 5 3 3 4" xfId="1175" xr:uid="{00000000-0005-0000-0000-0000FA0C0000}"/>
    <cellStyle name="Currency 5 3 3 4 2" xfId="3406" xr:uid="{00000000-0005-0000-0000-0000FB0C0000}"/>
    <cellStyle name="Currency 5 3 3 4 2 2" xfId="7628" xr:uid="{00000000-0005-0000-0000-0000FC0C0000}"/>
    <cellStyle name="Currency 5 3 3 4 2 2 2" xfId="16954" xr:uid="{8263751D-9273-4222-98ED-357EDD96A2B5}"/>
    <cellStyle name="Currency 5 3 3 4 2 3" xfId="12737" xr:uid="{686CA6F3-5411-40EF-9180-1970EE914740}"/>
    <cellStyle name="Currency 5 3 3 4 3" xfId="5483" xr:uid="{00000000-0005-0000-0000-0000FD0C0000}"/>
    <cellStyle name="Currency 5 3 3 4 3 2" xfId="14809" xr:uid="{949FBF78-D6DB-45A7-BA6C-7B1227421355}"/>
    <cellStyle name="Currency 5 3 3 4 4" xfId="10592" xr:uid="{299DE1EA-EDED-4A00-9D31-31B06BA4E6D3}"/>
    <cellStyle name="Currency 5 3 3 5" xfId="1589" xr:uid="{00000000-0005-0000-0000-0000FE0C0000}"/>
    <cellStyle name="Currency 5 3 3 5 2" xfId="3819" xr:uid="{00000000-0005-0000-0000-0000FF0C0000}"/>
    <cellStyle name="Currency 5 3 3 5 2 2" xfId="8041" xr:uid="{00000000-0005-0000-0000-0000000D0000}"/>
    <cellStyle name="Currency 5 3 3 5 2 2 2" xfId="17367" xr:uid="{09291B15-91F6-4877-A86F-8A98CE029B8B}"/>
    <cellStyle name="Currency 5 3 3 5 2 3" xfId="13150" xr:uid="{4E13CDC2-931E-4B92-8CC3-966E5C2D29D9}"/>
    <cellStyle name="Currency 5 3 3 5 3" xfId="5896" xr:uid="{00000000-0005-0000-0000-0000010D0000}"/>
    <cellStyle name="Currency 5 3 3 5 3 2" xfId="15222" xr:uid="{4CED0629-FD39-4CEF-85DE-8948BDFD12D4}"/>
    <cellStyle name="Currency 5 3 3 5 4" xfId="11005" xr:uid="{89C3884B-FD3D-4736-9129-91783559A55E}"/>
    <cellStyle name="Currency 5 3 3 6" xfId="2003" xr:uid="{00000000-0005-0000-0000-0000020D0000}"/>
    <cellStyle name="Currency 5 3 3 6 2" xfId="4232" xr:uid="{00000000-0005-0000-0000-0000030D0000}"/>
    <cellStyle name="Currency 5 3 3 6 2 2" xfId="8454" xr:uid="{00000000-0005-0000-0000-0000040D0000}"/>
    <cellStyle name="Currency 5 3 3 6 2 2 2" xfId="17780" xr:uid="{CE111E75-EC92-4031-98F9-B98399A94432}"/>
    <cellStyle name="Currency 5 3 3 6 2 3" xfId="13563" xr:uid="{1D299529-F87E-4490-AAD6-786F4D5A969D}"/>
    <cellStyle name="Currency 5 3 3 6 3" xfId="6309" xr:uid="{00000000-0005-0000-0000-0000050D0000}"/>
    <cellStyle name="Currency 5 3 3 6 3 2" xfId="15635" xr:uid="{4C03A6DF-5B97-4BE8-9D9B-E21B24BF7732}"/>
    <cellStyle name="Currency 5 3 3 6 4" xfId="11418" xr:uid="{FA65B66A-EAE5-49FF-B09E-B993476C250A}"/>
    <cellStyle name="Currency 5 3 3 7" xfId="2438" xr:uid="{00000000-0005-0000-0000-0000060D0000}"/>
    <cellStyle name="Currency 5 3 3 7 2" xfId="6722" xr:uid="{00000000-0005-0000-0000-0000070D0000}"/>
    <cellStyle name="Currency 5 3 3 7 2 2" xfId="16048" xr:uid="{C8BD572D-AF11-41B3-ABA7-9B3203D96AA3}"/>
    <cellStyle name="Currency 5 3 3 7 3" xfId="11831" xr:uid="{86E24682-1280-4ADF-A5DC-C1540EF8EAB9}"/>
    <cellStyle name="Currency 5 3 3 8" xfId="2735" xr:uid="{00000000-0005-0000-0000-0000080D0000}"/>
    <cellStyle name="Currency 5 3 3 9" xfId="2816" xr:uid="{00000000-0005-0000-0000-0000090D0000}"/>
    <cellStyle name="Currency 5 3 3 9 2" xfId="7039" xr:uid="{00000000-0005-0000-0000-00000A0D0000}"/>
    <cellStyle name="Currency 5 3 3 9 2 2" xfId="16365" xr:uid="{24BABFCA-DE3E-4A4B-9D1F-B72E2B06FC48}"/>
    <cellStyle name="Currency 5 3 3 9 3" xfId="12148" xr:uid="{9FA71A2F-7514-492B-A7A0-9E5F417D5E37}"/>
    <cellStyle name="Currency 5 3 4" xfId="216" xr:uid="{00000000-0005-0000-0000-00000B0D0000}"/>
    <cellStyle name="Currency 5 3 4 10" xfId="8986" xr:uid="{4F6CFA4A-F10A-4043-AD92-C0A3F7F06459}"/>
    <cellStyle name="Currency 5 3 4 10 2" xfId="18310" xr:uid="{EE324433-62F4-41EF-BD16-302D7DA66F37}"/>
    <cellStyle name="Currency 5 3 4 11" xfId="9767" xr:uid="{059F73A5-7729-4812-92CE-803DADC78447}"/>
    <cellStyle name="Currency 5 3 4 2" xfId="742" xr:uid="{00000000-0005-0000-0000-00000C0D0000}"/>
    <cellStyle name="Currency 5 3 4 2 2" xfId="2995" xr:uid="{00000000-0005-0000-0000-00000D0D0000}"/>
    <cellStyle name="Currency 5 3 4 2 2 2" xfId="7217" xr:uid="{00000000-0005-0000-0000-00000E0D0000}"/>
    <cellStyle name="Currency 5 3 4 2 2 2 2" xfId="16543" xr:uid="{B8F72E6A-AF45-4392-99B7-C0B34F82D257}"/>
    <cellStyle name="Currency 5 3 4 2 2 3" xfId="12326" xr:uid="{5AD8CB55-C1AC-4515-A486-1BCBD5400EE6}"/>
    <cellStyle name="Currency 5 3 4 2 3" xfId="5072" xr:uid="{00000000-0005-0000-0000-00000F0D0000}"/>
    <cellStyle name="Currency 5 3 4 2 3 2" xfId="14398" xr:uid="{55B8D45C-A985-409B-BA3E-BFBB101BADBB}"/>
    <cellStyle name="Currency 5 3 4 2 4" xfId="9411" xr:uid="{2729DEB6-408B-463E-B468-91D932C31FD7}"/>
    <cellStyle name="Currency 5 3 4 2 4 2" xfId="18726" xr:uid="{83E312D5-62E9-4F37-BD61-0D410EB7458C}"/>
    <cellStyle name="Currency 5 3 4 2 5" xfId="10181" xr:uid="{D2E59D13-4E40-4DEB-80A9-1EE522677CFC}"/>
    <cellStyle name="Currency 5 3 4 3" xfId="1177" xr:uid="{00000000-0005-0000-0000-0000100D0000}"/>
    <cellStyle name="Currency 5 3 4 3 2" xfId="3408" xr:uid="{00000000-0005-0000-0000-0000110D0000}"/>
    <cellStyle name="Currency 5 3 4 3 2 2" xfId="7630" xr:uid="{00000000-0005-0000-0000-0000120D0000}"/>
    <cellStyle name="Currency 5 3 4 3 2 2 2" xfId="16956" xr:uid="{1053720E-DF3E-48A4-8745-E92EB5B40B1A}"/>
    <cellStyle name="Currency 5 3 4 3 2 3" xfId="12739" xr:uid="{4651F31F-B267-496A-9468-B8141CF9B38A}"/>
    <cellStyle name="Currency 5 3 4 3 3" xfId="5485" xr:uid="{00000000-0005-0000-0000-0000130D0000}"/>
    <cellStyle name="Currency 5 3 4 3 3 2" xfId="14811" xr:uid="{079A2C43-6EC5-4C64-84FB-1084948793CE}"/>
    <cellStyle name="Currency 5 3 4 3 4" xfId="10594" xr:uid="{90215B5F-F74A-49EE-BE36-A9665093B36C}"/>
    <cellStyle name="Currency 5 3 4 4" xfId="1591" xr:uid="{00000000-0005-0000-0000-0000140D0000}"/>
    <cellStyle name="Currency 5 3 4 4 2" xfId="3821" xr:uid="{00000000-0005-0000-0000-0000150D0000}"/>
    <cellStyle name="Currency 5 3 4 4 2 2" xfId="8043" xr:uid="{00000000-0005-0000-0000-0000160D0000}"/>
    <cellStyle name="Currency 5 3 4 4 2 2 2" xfId="17369" xr:uid="{F259AAC1-37A6-4E8A-97EC-B62C6E71094C}"/>
    <cellStyle name="Currency 5 3 4 4 2 3" xfId="13152" xr:uid="{25CDC64B-72EC-4080-BD8D-1996490A6A6B}"/>
    <cellStyle name="Currency 5 3 4 4 3" xfId="5898" xr:uid="{00000000-0005-0000-0000-0000170D0000}"/>
    <cellStyle name="Currency 5 3 4 4 3 2" xfId="15224" xr:uid="{8D770FCC-DABA-4B28-94C2-A66CFB29F5E8}"/>
    <cellStyle name="Currency 5 3 4 4 4" xfId="11007" xr:uid="{787487A0-328C-4FAA-ABCB-E3946B1E0976}"/>
    <cellStyle name="Currency 5 3 4 5" xfId="2005" xr:uid="{00000000-0005-0000-0000-0000180D0000}"/>
    <cellStyle name="Currency 5 3 4 5 2" xfId="4234" xr:uid="{00000000-0005-0000-0000-0000190D0000}"/>
    <cellStyle name="Currency 5 3 4 5 2 2" xfId="8456" xr:uid="{00000000-0005-0000-0000-00001A0D0000}"/>
    <cellStyle name="Currency 5 3 4 5 2 2 2" xfId="17782" xr:uid="{ED16F8BE-32A3-4294-AAC3-54BEB73A8738}"/>
    <cellStyle name="Currency 5 3 4 5 2 3" xfId="13565" xr:uid="{C12E80CA-A990-48BA-BAF1-B463AC5BC126}"/>
    <cellStyle name="Currency 5 3 4 5 3" xfId="6311" xr:uid="{00000000-0005-0000-0000-00001B0D0000}"/>
    <cellStyle name="Currency 5 3 4 5 3 2" xfId="15637" xr:uid="{DCFA9979-F508-4569-B6B5-02D1E2C18D8B}"/>
    <cellStyle name="Currency 5 3 4 5 4" xfId="11420" xr:uid="{31763EEB-0441-497F-96BC-55BC0B597C39}"/>
    <cellStyle name="Currency 5 3 4 6" xfId="2440" xr:uid="{00000000-0005-0000-0000-00001C0D0000}"/>
    <cellStyle name="Currency 5 3 4 6 2" xfId="6724" xr:uid="{00000000-0005-0000-0000-00001D0D0000}"/>
    <cellStyle name="Currency 5 3 4 6 2 2" xfId="16050" xr:uid="{53ED1109-18A3-438F-8B1A-EEC31BF8AF37}"/>
    <cellStyle name="Currency 5 3 4 6 3" xfId="11833" xr:uid="{2916D6F8-19EC-4F5E-B71C-9440C0876916}"/>
    <cellStyle name="Currency 5 3 4 7" xfId="2737" xr:uid="{00000000-0005-0000-0000-00001E0D0000}"/>
    <cellStyle name="Currency 5 3 4 8" xfId="2818" xr:uid="{00000000-0005-0000-0000-00001F0D0000}"/>
    <cellStyle name="Currency 5 3 4 8 2" xfId="7041" xr:uid="{00000000-0005-0000-0000-0000200D0000}"/>
    <cellStyle name="Currency 5 3 4 8 2 2" xfId="16367" xr:uid="{AC7E4A36-768C-4DA6-B2A0-B946DEA6414A}"/>
    <cellStyle name="Currency 5 3 4 8 3" xfId="12150" xr:uid="{6AEBC7CC-1E1E-4FC0-B1C9-8272F865D797}"/>
    <cellStyle name="Currency 5 3 4 9" xfId="4658" xr:uid="{00000000-0005-0000-0000-0000210D0000}"/>
    <cellStyle name="Currency 5 3 4 9 2" xfId="13984" xr:uid="{4BBF48F1-B817-42B9-914C-42DBE47EA8E1}"/>
    <cellStyle name="Currency 5 3 5" xfId="217" xr:uid="{00000000-0005-0000-0000-0000220D0000}"/>
    <cellStyle name="Currency 5 3 5 10" xfId="9203" xr:uid="{6167CBBD-227C-4457-B6B6-18EF5C089771}"/>
    <cellStyle name="Currency 5 3 5 10 2" xfId="18519" xr:uid="{1EB9CB4C-C033-48BC-9DC3-786C7E81AF1E}"/>
    <cellStyle name="Currency 5 3 5 11" xfId="9768" xr:uid="{3FAC3EB8-223D-4A6D-99AA-855218884DFB}"/>
    <cellStyle name="Currency 5 3 5 2" xfId="743" xr:uid="{00000000-0005-0000-0000-0000230D0000}"/>
    <cellStyle name="Currency 5 3 5 2 2" xfId="2996" xr:uid="{00000000-0005-0000-0000-0000240D0000}"/>
    <cellStyle name="Currency 5 3 5 2 2 2" xfId="7218" xr:uid="{00000000-0005-0000-0000-0000250D0000}"/>
    <cellStyle name="Currency 5 3 5 2 2 2 2" xfId="16544" xr:uid="{55A7AB56-A921-4744-9ADC-904286AA34F9}"/>
    <cellStyle name="Currency 5 3 5 2 2 3" xfId="12327" xr:uid="{0FE61EB7-7666-47E0-A179-DCC4A538F86E}"/>
    <cellStyle name="Currency 5 3 5 2 3" xfId="5073" xr:uid="{00000000-0005-0000-0000-0000260D0000}"/>
    <cellStyle name="Currency 5 3 5 2 3 2" xfId="14399" xr:uid="{14AF0181-4A1D-4558-82A2-5DF40ADBB664}"/>
    <cellStyle name="Currency 5 3 5 2 4" xfId="9600" xr:uid="{650A4058-48FE-4F3E-8845-8F52DF332026}"/>
    <cellStyle name="Currency 5 3 5 2 4 2" xfId="18904" xr:uid="{EAA3F438-B7E1-4154-BC51-36337D8744F7}"/>
    <cellStyle name="Currency 5 3 5 2 5" xfId="10182" xr:uid="{1E4B090A-C6D3-42A5-86E2-C706C457D00C}"/>
    <cellStyle name="Currency 5 3 5 3" xfId="1178" xr:uid="{00000000-0005-0000-0000-0000270D0000}"/>
    <cellStyle name="Currency 5 3 5 3 2" xfId="3409" xr:uid="{00000000-0005-0000-0000-0000280D0000}"/>
    <cellStyle name="Currency 5 3 5 3 2 2" xfId="7631" xr:uid="{00000000-0005-0000-0000-0000290D0000}"/>
    <cellStyle name="Currency 5 3 5 3 2 2 2" xfId="16957" xr:uid="{69E460B9-755E-44D3-9F53-22B57EB2BE8E}"/>
    <cellStyle name="Currency 5 3 5 3 2 3" xfId="12740" xr:uid="{C1E4C500-A4A8-409D-9C63-B7BE4A88DFB5}"/>
    <cellStyle name="Currency 5 3 5 3 3" xfId="5486" xr:uid="{00000000-0005-0000-0000-00002A0D0000}"/>
    <cellStyle name="Currency 5 3 5 3 3 2" xfId="14812" xr:uid="{4BCEB4F7-6CA6-49FC-8A5E-048E7830FBB2}"/>
    <cellStyle name="Currency 5 3 5 3 4" xfId="10595" xr:uid="{00FCEF5C-3C3A-4BD8-9972-1E475816FC97}"/>
    <cellStyle name="Currency 5 3 5 4" xfId="1592" xr:uid="{00000000-0005-0000-0000-00002B0D0000}"/>
    <cellStyle name="Currency 5 3 5 4 2" xfId="3822" xr:uid="{00000000-0005-0000-0000-00002C0D0000}"/>
    <cellStyle name="Currency 5 3 5 4 2 2" xfId="8044" xr:uid="{00000000-0005-0000-0000-00002D0D0000}"/>
    <cellStyle name="Currency 5 3 5 4 2 2 2" xfId="17370" xr:uid="{2F50AB42-4932-48E0-A0B5-4081C16FFF8A}"/>
    <cellStyle name="Currency 5 3 5 4 2 3" xfId="13153" xr:uid="{C63D2DE1-3309-4F3D-AB1B-29C21C9E51D2}"/>
    <cellStyle name="Currency 5 3 5 4 3" xfId="5899" xr:uid="{00000000-0005-0000-0000-00002E0D0000}"/>
    <cellStyle name="Currency 5 3 5 4 3 2" xfId="15225" xr:uid="{F46F8901-520B-4D19-8138-77D71E086437}"/>
    <cellStyle name="Currency 5 3 5 4 4" xfId="11008" xr:uid="{D883DC47-5EF3-43DF-835D-A7FA4ABB863E}"/>
    <cellStyle name="Currency 5 3 5 5" xfId="2006" xr:uid="{00000000-0005-0000-0000-00002F0D0000}"/>
    <cellStyle name="Currency 5 3 5 5 2" xfId="4235" xr:uid="{00000000-0005-0000-0000-0000300D0000}"/>
    <cellStyle name="Currency 5 3 5 5 2 2" xfId="8457" xr:uid="{00000000-0005-0000-0000-0000310D0000}"/>
    <cellStyle name="Currency 5 3 5 5 2 2 2" xfId="17783" xr:uid="{14B48177-A872-4BCA-AC19-25DC7E1DBC55}"/>
    <cellStyle name="Currency 5 3 5 5 2 3" xfId="13566" xr:uid="{16574B48-D39D-4C8F-8E9E-DD0EC0C6C6D1}"/>
    <cellStyle name="Currency 5 3 5 5 3" xfId="6312" xr:uid="{00000000-0005-0000-0000-0000320D0000}"/>
    <cellStyle name="Currency 5 3 5 5 3 2" xfId="15638" xr:uid="{A8A138B4-BE7F-4059-B1F9-99C41B1B69C7}"/>
    <cellStyle name="Currency 5 3 5 5 4" xfId="11421" xr:uid="{95A6E429-BC51-4842-B175-BE7B80EDA774}"/>
    <cellStyle name="Currency 5 3 5 6" xfId="2441" xr:uid="{00000000-0005-0000-0000-0000330D0000}"/>
    <cellStyle name="Currency 5 3 5 6 2" xfId="6725" xr:uid="{00000000-0005-0000-0000-0000340D0000}"/>
    <cellStyle name="Currency 5 3 5 6 2 2" xfId="16051" xr:uid="{398EE930-601A-462D-910D-19C549643D3E}"/>
    <cellStyle name="Currency 5 3 5 6 3" xfId="11834" xr:uid="{BC6EF7F5-797C-46CA-9AA4-B3707AC4C8D4}"/>
    <cellStyle name="Currency 5 3 5 7" xfId="2738" xr:uid="{00000000-0005-0000-0000-0000350D0000}"/>
    <cellStyle name="Currency 5 3 5 8" xfId="2819" xr:uid="{00000000-0005-0000-0000-0000360D0000}"/>
    <cellStyle name="Currency 5 3 5 8 2" xfId="7042" xr:uid="{00000000-0005-0000-0000-0000370D0000}"/>
    <cellStyle name="Currency 5 3 5 8 2 2" xfId="16368" xr:uid="{79143AB1-1A37-4223-98D9-926C23EFC995}"/>
    <cellStyle name="Currency 5 3 5 8 3" xfId="12151" xr:uid="{95B07B34-B976-4DC1-9128-C4FB979D01BC}"/>
    <cellStyle name="Currency 5 3 5 9" xfId="4659" xr:uid="{00000000-0005-0000-0000-0000380D0000}"/>
    <cellStyle name="Currency 5 3 5 9 2" xfId="13985" xr:uid="{FEEBC3EE-44D2-4995-9FEA-CCAB3777B18A}"/>
    <cellStyle name="Currency 5 3 6" xfId="9585" xr:uid="{F259418A-5AC0-4C4E-A98C-07B5BEE6D673}"/>
    <cellStyle name="Currency 5 3 7" xfId="8779" xr:uid="{856D4C12-E347-4E8F-9200-2EC71AC3E0CB}"/>
    <cellStyle name="Currency 5 3 7 2" xfId="18103" xr:uid="{15386A7C-5F30-4572-AF18-F287E1B67116}"/>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0 2" xfId="13986" xr:uid="{7E82072D-63A5-40D0-BF09-6198D93C3CBF}"/>
    <cellStyle name="Currency 5 5 11" xfId="8850" xr:uid="{8F129173-F323-478F-8B06-1E2599EB26C1}"/>
    <cellStyle name="Currency 5 5 11 2" xfId="18174" xr:uid="{235ACE9A-561B-4898-A3E2-DEFF0CED6897}"/>
    <cellStyle name="Currency 5 5 12" xfId="9769" xr:uid="{85058EE2-C314-47FE-A719-58DC224647E1}"/>
    <cellStyle name="Currency 5 5 2" xfId="220" xr:uid="{00000000-0005-0000-0000-00003D0D0000}"/>
    <cellStyle name="Currency 5 5 2 10" xfId="9057" xr:uid="{90E61E49-0971-4EC1-90D8-E015846E4FB2}"/>
    <cellStyle name="Currency 5 5 2 10 2" xfId="18381" xr:uid="{2D8494BB-19D8-4952-BDE3-34B5C52998AD}"/>
    <cellStyle name="Currency 5 5 2 11" xfId="9770" xr:uid="{902C880A-20F8-403D-9A49-CBEA90611C54}"/>
    <cellStyle name="Currency 5 5 2 2" xfId="746" xr:uid="{00000000-0005-0000-0000-00003E0D0000}"/>
    <cellStyle name="Currency 5 5 2 2 2" xfId="2998" xr:uid="{00000000-0005-0000-0000-00003F0D0000}"/>
    <cellStyle name="Currency 5 5 2 2 2 2" xfId="7220" xr:uid="{00000000-0005-0000-0000-0000400D0000}"/>
    <cellStyle name="Currency 5 5 2 2 2 2 2" xfId="16546" xr:uid="{126FB6C2-BF09-42CE-A964-9648B73E4D68}"/>
    <cellStyle name="Currency 5 5 2 2 2 3" xfId="12329" xr:uid="{C95AD416-0593-4621-AEEC-B118E5CE5DC0}"/>
    <cellStyle name="Currency 5 5 2 2 3" xfId="5075" xr:uid="{00000000-0005-0000-0000-0000410D0000}"/>
    <cellStyle name="Currency 5 5 2 2 3 2" xfId="14401" xr:uid="{F63D866E-E7FD-452E-B215-C28AF2DCF6E5}"/>
    <cellStyle name="Currency 5 5 2 2 4" xfId="9482" xr:uid="{ECEE3E7C-42CD-4A2D-A90F-D54FFBA7E41F}"/>
    <cellStyle name="Currency 5 5 2 2 4 2" xfId="18797" xr:uid="{E1BC3266-EC71-4BC7-909D-43C3701895BC}"/>
    <cellStyle name="Currency 5 5 2 2 5" xfId="10184" xr:uid="{E3C7D45A-E0AC-4B2C-85D9-86A0297E2E4D}"/>
    <cellStyle name="Currency 5 5 2 3" xfId="1180" xr:uid="{00000000-0005-0000-0000-0000420D0000}"/>
    <cellStyle name="Currency 5 5 2 3 2" xfId="3411" xr:uid="{00000000-0005-0000-0000-0000430D0000}"/>
    <cellStyle name="Currency 5 5 2 3 2 2" xfId="7633" xr:uid="{00000000-0005-0000-0000-0000440D0000}"/>
    <cellStyle name="Currency 5 5 2 3 2 2 2" xfId="16959" xr:uid="{D0594ED6-19E5-466B-AC5F-D7B9F528E8D5}"/>
    <cellStyle name="Currency 5 5 2 3 2 3" xfId="12742" xr:uid="{B9D569B2-109B-43E4-A916-CA469779BAC3}"/>
    <cellStyle name="Currency 5 5 2 3 3" xfId="5488" xr:uid="{00000000-0005-0000-0000-0000450D0000}"/>
    <cellStyle name="Currency 5 5 2 3 3 2" xfId="14814" xr:uid="{43739D72-CB98-44B9-96AB-C53F0E20E72D}"/>
    <cellStyle name="Currency 5 5 2 3 4" xfId="10597" xr:uid="{5E79C8C1-D663-4ACA-AE9F-3589F7702349}"/>
    <cellStyle name="Currency 5 5 2 4" xfId="1594" xr:uid="{00000000-0005-0000-0000-0000460D0000}"/>
    <cellStyle name="Currency 5 5 2 4 2" xfId="3824" xr:uid="{00000000-0005-0000-0000-0000470D0000}"/>
    <cellStyle name="Currency 5 5 2 4 2 2" xfId="8046" xr:uid="{00000000-0005-0000-0000-0000480D0000}"/>
    <cellStyle name="Currency 5 5 2 4 2 2 2" xfId="17372" xr:uid="{78089042-1867-4D20-BD69-54185430F520}"/>
    <cellStyle name="Currency 5 5 2 4 2 3" xfId="13155" xr:uid="{06353296-BFED-4428-9B26-FF25B0077A79}"/>
    <cellStyle name="Currency 5 5 2 4 3" xfId="5901" xr:uid="{00000000-0005-0000-0000-0000490D0000}"/>
    <cellStyle name="Currency 5 5 2 4 3 2" xfId="15227" xr:uid="{8098A553-4E94-421D-9D6B-708A4AF62F54}"/>
    <cellStyle name="Currency 5 5 2 4 4" xfId="11010" xr:uid="{C81545EE-FF62-44F8-8A5F-E9B31900C4F9}"/>
    <cellStyle name="Currency 5 5 2 5" xfId="2008" xr:uid="{00000000-0005-0000-0000-00004A0D0000}"/>
    <cellStyle name="Currency 5 5 2 5 2" xfId="4237" xr:uid="{00000000-0005-0000-0000-00004B0D0000}"/>
    <cellStyle name="Currency 5 5 2 5 2 2" xfId="8459" xr:uid="{00000000-0005-0000-0000-00004C0D0000}"/>
    <cellStyle name="Currency 5 5 2 5 2 2 2" xfId="17785" xr:uid="{A0A20A52-67AB-47B5-81DF-CFB97A2F3358}"/>
    <cellStyle name="Currency 5 5 2 5 2 3" xfId="13568" xr:uid="{42559B06-746A-4346-A805-CF4FD5753B2D}"/>
    <cellStyle name="Currency 5 5 2 5 3" xfId="6314" xr:uid="{00000000-0005-0000-0000-00004D0D0000}"/>
    <cellStyle name="Currency 5 5 2 5 3 2" xfId="15640" xr:uid="{54E4E95D-EC4F-491D-BF02-EE17EA722E64}"/>
    <cellStyle name="Currency 5 5 2 5 4" xfId="11423" xr:uid="{7EA6923B-7A72-445F-BD22-4E3BE3B0F8EC}"/>
    <cellStyle name="Currency 5 5 2 6" xfId="2443" xr:uid="{00000000-0005-0000-0000-00004E0D0000}"/>
    <cellStyle name="Currency 5 5 2 6 2" xfId="6727" xr:uid="{00000000-0005-0000-0000-00004F0D0000}"/>
    <cellStyle name="Currency 5 5 2 6 2 2" xfId="16053" xr:uid="{7A1F447C-E9DE-46A8-9E96-2CA0A2D09C9A}"/>
    <cellStyle name="Currency 5 5 2 6 3" xfId="11836" xr:uid="{BF4FF32A-A1DD-4245-8939-F3B3EDF6A928}"/>
    <cellStyle name="Currency 5 5 2 7" xfId="2740" xr:uid="{00000000-0005-0000-0000-0000500D0000}"/>
    <cellStyle name="Currency 5 5 2 8" xfId="2821" xr:uid="{00000000-0005-0000-0000-0000510D0000}"/>
    <cellStyle name="Currency 5 5 2 8 2" xfId="7044" xr:uid="{00000000-0005-0000-0000-0000520D0000}"/>
    <cellStyle name="Currency 5 5 2 8 2 2" xfId="16370" xr:uid="{58ADA94E-7931-4CC1-9ECD-F80E54107609}"/>
    <cellStyle name="Currency 5 5 2 8 3" xfId="12153" xr:uid="{8E1DA3AE-B681-421A-85D5-4F63FFC8A2A9}"/>
    <cellStyle name="Currency 5 5 2 9" xfId="4661" xr:uid="{00000000-0005-0000-0000-0000530D0000}"/>
    <cellStyle name="Currency 5 5 2 9 2" xfId="13987" xr:uid="{A0EBD662-4CE8-4AD1-A50E-3FC767F59B23}"/>
    <cellStyle name="Currency 5 5 3" xfId="745" xr:uid="{00000000-0005-0000-0000-0000540D0000}"/>
    <cellStyle name="Currency 5 5 3 2" xfId="2997" xr:uid="{00000000-0005-0000-0000-0000550D0000}"/>
    <cellStyle name="Currency 5 5 3 2 2" xfId="7219" xr:uid="{00000000-0005-0000-0000-0000560D0000}"/>
    <cellStyle name="Currency 5 5 3 2 2 2" xfId="16545" xr:uid="{657C7595-5B4A-4971-BB02-135F8B2D8BDA}"/>
    <cellStyle name="Currency 5 5 3 2 3" xfId="12328" xr:uid="{F41279C8-FE4E-4FC2-8546-1AF0BC7A882A}"/>
    <cellStyle name="Currency 5 5 3 3" xfId="5074" xr:uid="{00000000-0005-0000-0000-0000570D0000}"/>
    <cellStyle name="Currency 5 5 3 3 2" xfId="14400" xr:uid="{4927A557-69EC-4359-93D6-D0E24AFBD29C}"/>
    <cellStyle name="Currency 5 5 3 4" xfId="9275" xr:uid="{54783F20-34E5-4A58-80AE-EC7CC69A89C9}"/>
    <cellStyle name="Currency 5 5 3 4 2" xfId="18590" xr:uid="{DC617666-4395-4146-84F5-A11D80B714BF}"/>
    <cellStyle name="Currency 5 5 3 5" xfId="10183" xr:uid="{40C548CC-67EA-4B31-8AC3-613D16B3ABE5}"/>
    <cellStyle name="Currency 5 5 4" xfId="1179" xr:uid="{00000000-0005-0000-0000-0000580D0000}"/>
    <cellStyle name="Currency 5 5 4 2" xfId="3410" xr:uid="{00000000-0005-0000-0000-0000590D0000}"/>
    <cellStyle name="Currency 5 5 4 2 2" xfId="7632" xr:uid="{00000000-0005-0000-0000-00005A0D0000}"/>
    <cellStyle name="Currency 5 5 4 2 2 2" xfId="16958" xr:uid="{1300FFD7-7431-4308-843D-C6FF3E7B9F71}"/>
    <cellStyle name="Currency 5 5 4 2 3" xfId="12741" xr:uid="{DF6CB4CB-F4A4-4090-9EF5-62FA157F7277}"/>
    <cellStyle name="Currency 5 5 4 3" xfId="5487" xr:uid="{00000000-0005-0000-0000-00005B0D0000}"/>
    <cellStyle name="Currency 5 5 4 3 2" xfId="14813" xr:uid="{DA2DA2EB-098B-4AE2-B680-7DC14FC78ADA}"/>
    <cellStyle name="Currency 5 5 4 4" xfId="10596" xr:uid="{1395F89C-CFDC-4B9E-B814-D3362FE1B691}"/>
    <cellStyle name="Currency 5 5 5" xfId="1593" xr:uid="{00000000-0005-0000-0000-00005C0D0000}"/>
    <cellStyle name="Currency 5 5 5 2" xfId="3823" xr:uid="{00000000-0005-0000-0000-00005D0D0000}"/>
    <cellStyle name="Currency 5 5 5 2 2" xfId="8045" xr:uid="{00000000-0005-0000-0000-00005E0D0000}"/>
    <cellStyle name="Currency 5 5 5 2 2 2" xfId="17371" xr:uid="{E901E174-CB17-48C3-B2E4-2D4BA64196BA}"/>
    <cellStyle name="Currency 5 5 5 2 3" xfId="13154" xr:uid="{ED04485B-DA15-4364-8D05-9B082BB07043}"/>
    <cellStyle name="Currency 5 5 5 3" xfId="5900" xr:uid="{00000000-0005-0000-0000-00005F0D0000}"/>
    <cellStyle name="Currency 5 5 5 3 2" xfId="15226" xr:uid="{DCCBCEF0-1768-4988-883A-4965773382E0}"/>
    <cellStyle name="Currency 5 5 5 4" xfId="11009" xr:uid="{54B5128C-607F-4E57-85DF-3FE09BC262BC}"/>
    <cellStyle name="Currency 5 5 6" xfId="2007" xr:uid="{00000000-0005-0000-0000-0000600D0000}"/>
    <cellStyle name="Currency 5 5 6 2" xfId="4236" xr:uid="{00000000-0005-0000-0000-0000610D0000}"/>
    <cellStyle name="Currency 5 5 6 2 2" xfId="8458" xr:uid="{00000000-0005-0000-0000-0000620D0000}"/>
    <cellStyle name="Currency 5 5 6 2 2 2" xfId="17784" xr:uid="{A2C53041-542E-4444-B3E1-9CE26D04A23D}"/>
    <cellStyle name="Currency 5 5 6 2 3" xfId="13567" xr:uid="{3718E5DB-371A-4B29-93E2-60A44BF0BA1E}"/>
    <cellStyle name="Currency 5 5 6 3" xfId="6313" xr:uid="{00000000-0005-0000-0000-0000630D0000}"/>
    <cellStyle name="Currency 5 5 6 3 2" xfId="15639" xr:uid="{A03A6EA3-6CF6-4116-858D-9232D2B235B4}"/>
    <cellStyle name="Currency 5 5 6 4" xfId="11422" xr:uid="{7E278CDE-887D-42CF-83C3-B75794B622CF}"/>
    <cellStyle name="Currency 5 5 7" xfId="2442" xr:uid="{00000000-0005-0000-0000-0000640D0000}"/>
    <cellStyle name="Currency 5 5 7 2" xfId="6726" xr:uid="{00000000-0005-0000-0000-0000650D0000}"/>
    <cellStyle name="Currency 5 5 7 2 2" xfId="16052" xr:uid="{AC68581E-5AA9-45E2-BE8C-EDFB9EFA15C8}"/>
    <cellStyle name="Currency 5 5 7 3" xfId="11835" xr:uid="{EE23F8AB-38CE-4D66-A3CB-BEDEA4E3D60A}"/>
    <cellStyle name="Currency 5 5 8" xfId="2739" xr:uid="{00000000-0005-0000-0000-0000660D0000}"/>
    <cellStyle name="Currency 5 5 9" xfId="2820" xr:uid="{00000000-0005-0000-0000-0000670D0000}"/>
    <cellStyle name="Currency 5 5 9 2" xfId="7043" xr:uid="{00000000-0005-0000-0000-0000680D0000}"/>
    <cellStyle name="Currency 5 5 9 2 2" xfId="16369" xr:uid="{2087EE33-F973-404B-A390-DBAD15C56D35}"/>
    <cellStyle name="Currency 5 5 9 3" xfId="12152" xr:uid="{1BFD151B-EC31-43CF-AB46-7391D787D86A}"/>
    <cellStyle name="Currency 5 6" xfId="221" xr:uid="{00000000-0005-0000-0000-0000690D0000}"/>
    <cellStyle name="Currency 5 6 10" xfId="8966" xr:uid="{EC95BD1E-EAA8-4043-BDA7-06F3BBDBC3D5}"/>
    <cellStyle name="Currency 5 6 10 2" xfId="18290" xr:uid="{65B3A378-72B2-4E55-A32E-C79233689AD1}"/>
    <cellStyle name="Currency 5 6 11" xfId="9771" xr:uid="{2AD8A43B-D760-4B4D-B714-619D85CB8F05}"/>
    <cellStyle name="Currency 5 6 2" xfId="747" xr:uid="{00000000-0005-0000-0000-00006A0D0000}"/>
    <cellStyle name="Currency 5 6 2 2" xfId="2999" xr:uid="{00000000-0005-0000-0000-00006B0D0000}"/>
    <cellStyle name="Currency 5 6 2 2 2" xfId="7221" xr:uid="{00000000-0005-0000-0000-00006C0D0000}"/>
    <cellStyle name="Currency 5 6 2 2 2 2" xfId="16547" xr:uid="{AA81EA8A-CDC5-415D-A4F9-8029A0EB32E6}"/>
    <cellStyle name="Currency 5 6 2 2 3" xfId="12330" xr:uid="{FCEF4545-632B-4E2D-80B3-C4EF63743969}"/>
    <cellStyle name="Currency 5 6 2 3" xfId="5076" xr:uid="{00000000-0005-0000-0000-00006D0D0000}"/>
    <cellStyle name="Currency 5 6 2 3 2" xfId="14402" xr:uid="{8323D132-E703-4322-B567-57127CFF40B7}"/>
    <cellStyle name="Currency 5 6 2 4" xfId="9391" xr:uid="{8CBF3F74-51EC-4402-B96A-0759E6537FC7}"/>
    <cellStyle name="Currency 5 6 2 4 2" xfId="18706" xr:uid="{3AEC93E6-634A-4F45-9F54-7655226C10CE}"/>
    <cellStyle name="Currency 5 6 2 5" xfId="10185" xr:uid="{18B14747-9009-44DD-A001-102271DE0BED}"/>
    <cellStyle name="Currency 5 6 3" xfId="1181" xr:uid="{00000000-0005-0000-0000-00006E0D0000}"/>
    <cellStyle name="Currency 5 6 3 2" xfId="3412" xr:uid="{00000000-0005-0000-0000-00006F0D0000}"/>
    <cellStyle name="Currency 5 6 3 2 2" xfId="7634" xr:uid="{00000000-0005-0000-0000-0000700D0000}"/>
    <cellStyle name="Currency 5 6 3 2 2 2" xfId="16960" xr:uid="{801C72F3-8684-4F36-91AA-35A9AF86E0EB}"/>
    <cellStyle name="Currency 5 6 3 2 3" xfId="12743" xr:uid="{456A2026-86E8-4CF1-866A-E6AC0A779529}"/>
    <cellStyle name="Currency 5 6 3 3" xfId="5489" xr:uid="{00000000-0005-0000-0000-0000710D0000}"/>
    <cellStyle name="Currency 5 6 3 3 2" xfId="14815" xr:uid="{66212D7D-F4E1-41FC-894F-BDFF40C8662B}"/>
    <cellStyle name="Currency 5 6 3 4" xfId="10598" xr:uid="{CC2B42E0-4E4D-40FE-9123-531F8041FD8A}"/>
    <cellStyle name="Currency 5 6 4" xfId="1595" xr:uid="{00000000-0005-0000-0000-0000720D0000}"/>
    <cellStyle name="Currency 5 6 4 2" xfId="3825" xr:uid="{00000000-0005-0000-0000-0000730D0000}"/>
    <cellStyle name="Currency 5 6 4 2 2" xfId="8047" xr:uid="{00000000-0005-0000-0000-0000740D0000}"/>
    <cellStyle name="Currency 5 6 4 2 2 2" xfId="17373" xr:uid="{2B5DD4C9-B1DC-4F70-8E08-9C30FC949FC2}"/>
    <cellStyle name="Currency 5 6 4 2 3" xfId="13156" xr:uid="{EEAF980B-3F05-4435-8E88-266BBF418E6C}"/>
    <cellStyle name="Currency 5 6 4 3" xfId="5902" xr:uid="{00000000-0005-0000-0000-0000750D0000}"/>
    <cellStyle name="Currency 5 6 4 3 2" xfId="15228" xr:uid="{E3387CDC-C29A-41DD-B385-D092648528FD}"/>
    <cellStyle name="Currency 5 6 4 4" xfId="11011" xr:uid="{A5905D0B-F473-4A3F-8F13-648C0CA37AF8}"/>
    <cellStyle name="Currency 5 6 5" xfId="2009" xr:uid="{00000000-0005-0000-0000-0000760D0000}"/>
    <cellStyle name="Currency 5 6 5 2" xfId="4238" xr:uid="{00000000-0005-0000-0000-0000770D0000}"/>
    <cellStyle name="Currency 5 6 5 2 2" xfId="8460" xr:uid="{00000000-0005-0000-0000-0000780D0000}"/>
    <cellStyle name="Currency 5 6 5 2 2 2" xfId="17786" xr:uid="{CC10A381-DB5E-44B5-893C-0440504BE00A}"/>
    <cellStyle name="Currency 5 6 5 2 3" xfId="13569" xr:uid="{F425610B-BA8E-4136-8524-47440AEDE348}"/>
    <cellStyle name="Currency 5 6 5 3" xfId="6315" xr:uid="{00000000-0005-0000-0000-0000790D0000}"/>
    <cellStyle name="Currency 5 6 5 3 2" xfId="15641" xr:uid="{41498F8E-AB13-48C7-B6C1-F7800F21F8EF}"/>
    <cellStyle name="Currency 5 6 5 4" xfId="11424" xr:uid="{0C30F104-7375-4158-BD6F-9614CBD20940}"/>
    <cellStyle name="Currency 5 6 6" xfId="2444" xr:uid="{00000000-0005-0000-0000-00007A0D0000}"/>
    <cellStyle name="Currency 5 6 6 2" xfId="6728" xr:uid="{00000000-0005-0000-0000-00007B0D0000}"/>
    <cellStyle name="Currency 5 6 6 2 2" xfId="16054" xr:uid="{40304601-62EA-404D-A883-DFF71B933032}"/>
    <cellStyle name="Currency 5 6 6 3" xfId="11837" xr:uid="{ECBD05CD-166C-4AAF-8018-2FE2E7524B4E}"/>
    <cellStyle name="Currency 5 6 7" xfId="2741" xr:uid="{00000000-0005-0000-0000-00007C0D0000}"/>
    <cellStyle name="Currency 5 6 8" xfId="2822" xr:uid="{00000000-0005-0000-0000-00007D0D0000}"/>
    <cellStyle name="Currency 5 6 8 2" xfId="7045" xr:uid="{00000000-0005-0000-0000-00007E0D0000}"/>
    <cellStyle name="Currency 5 6 8 2 2" xfId="16371" xr:uid="{53ACA142-25F2-4FFD-8141-EB2998B1A6A0}"/>
    <cellStyle name="Currency 5 6 8 3" xfId="12154" xr:uid="{6E6C45BF-5A42-45CA-95F9-A833E93FFC1C}"/>
    <cellStyle name="Currency 5 6 9" xfId="4662" xr:uid="{00000000-0005-0000-0000-00007F0D0000}"/>
    <cellStyle name="Currency 5 6 9 2" xfId="13988" xr:uid="{56057683-A479-4934-96B5-299823164E94}"/>
    <cellStyle name="Currency 5 7" xfId="222" xr:uid="{00000000-0005-0000-0000-0000800D0000}"/>
    <cellStyle name="Currency 5 7 10" xfId="9169" xr:uid="{7A886DE7-136A-429E-90E2-A7C712D111D8}"/>
    <cellStyle name="Currency 5 7 10 2" xfId="18487" xr:uid="{3FAA264C-35CF-436B-AF94-59044984FDA4}"/>
    <cellStyle name="Currency 5 7 11" xfId="9772" xr:uid="{69ADADE9-C270-4C81-83A8-76337C8C4577}"/>
    <cellStyle name="Currency 5 7 2" xfId="748" xr:uid="{00000000-0005-0000-0000-0000810D0000}"/>
    <cellStyle name="Currency 5 7 2 2" xfId="3000" xr:uid="{00000000-0005-0000-0000-0000820D0000}"/>
    <cellStyle name="Currency 5 7 2 2 2" xfId="7222" xr:uid="{00000000-0005-0000-0000-0000830D0000}"/>
    <cellStyle name="Currency 5 7 2 2 2 2" xfId="16548" xr:uid="{5F76D2DB-65C6-4F55-873C-2AAF11A1740A}"/>
    <cellStyle name="Currency 5 7 2 2 3" xfId="12331" xr:uid="{C48F276E-A3CD-45FB-98F4-3650583D3924}"/>
    <cellStyle name="Currency 5 7 2 3" xfId="5077" xr:uid="{00000000-0005-0000-0000-0000840D0000}"/>
    <cellStyle name="Currency 5 7 2 3 2" xfId="14403" xr:uid="{A3FEF54E-63F7-4628-882B-8B6B8CB90DA5}"/>
    <cellStyle name="Currency 5 7 2 4" xfId="9601" xr:uid="{DC93A830-0AF1-4EC4-B764-C728922F3FEF}"/>
    <cellStyle name="Currency 5 7 2 4 2" xfId="18905" xr:uid="{9C7F0AFD-5401-42D1-BAC5-D2B0F51E0534}"/>
    <cellStyle name="Currency 5 7 2 5" xfId="10186" xr:uid="{B0076925-279A-4212-8D65-94C2562866D0}"/>
    <cellStyle name="Currency 5 7 3" xfId="1182" xr:uid="{00000000-0005-0000-0000-0000850D0000}"/>
    <cellStyle name="Currency 5 7 3 2" xfId="3413" xr:uid="{00000000-0005-0000-0000-0000860D0000}"/>
    <cellStyle name="Currency 5 7 3 2 2" xfId="7635" xr:uid="{00000000-0005-0000-0000-0000870D0000}"/>
    <cellStyle name="Currency 5 7 3 2 2 2" xfId="16961" xr:uid="{73E21B3A-BD80-4C07-8744-91A1CF07D0E7}"/>
    <cellStyle name="Currency 5 7 3 2 3" xfId="12744" xr:uid="{E82CDF99-3549-4D63-B0ED-6D359911C2C9}"/>
    <cellStyle name="Currency 5 7 3 3" xfId="5490" xr:uid="{00000000-0005-0000-0000-0000880D0000}"/>
    <cellStyle name="Currency 5 7 3 3 2" xfId="14816" xr:uid="{9EF86790-7114-4D68-922F-7EFAE0286B6F}"/>
    <cellStyle name="Currency 5 7 3 4" xfId="10599" xr:uid="{14AE730B-F2C5-4E0D-AD87-1E0BEA08100A}"/>
    <cellStyle name="Currency 5 7 4" xfId="1596" xr:uid="{00000000-0005-0000-0000-0000890D0000}"/>
    <cellStyle name="Currency 5 7 4 2" xfId="3826" xr:uid="{00000000-0005-0000-0000-00008A0D0000}"/>
    <cellStyle name="Currency 5 7 4 2 2" xfId="8048" xr:uid="{00000000-0005-0000-0000-00008B0D0000}"/>
    <cellStyle name="Currency 5 7 4 2 2 2" xfId="17374" xr:uid="{9B5FD2EC-5187-4598-A8F2-7A9CDE0E69AE}"/>
    <cellStyle name="Currency 5 7 4 2 3" xfId="13157" xr:uid="{20C73311-3C5A-4A90-A259-091F965924CF}"/>
    <cellStyle name="Currency 5 7 4 3" xfId="5903" xr:uid="{00000000-0005-0000-0000-00008C0D0000}"/>
    <cellStyle name="Currency 5 7 4 3 2" xfId="15229" xr:uid="{45E51366-3CAB-4E1D-B158-5325C2870F46}"/>
    <cellStyle name="Currency 5 7 4 4" xfId="11012" xr:uid="{6AFDDDBA-5956-43E0-ABF6-7EC3D02EEFDC}"/>
    <cellStyle name="Currency 5 7 5" xfId="2010" xr:uid="{00000000-0005-0000-0000-00008D0D0000}"/>
    <cellStyle name="Currency 5 7 5 2" xfId="4239" xr:uid="{00000000-0005-0000-0000-00008E0D0000}"/>
    <cellStyle name="Currency 5 7 5 2 2" xfId="8461" xr:uid="{00000000-0005-0000-0000-00008F0D0000}"/>
    <cellStyle name="Currency 5 7 5 2 2 2" xfId="17787" xr:uid="{E2BF63A5-A9BD-41F9-98E5-BCA5B236F9F8}"/>
    <cellStyle name="Currency 5 7 5 2 3" xfId="13570" xr:uid="{C3B394CF-F14A-4128-A8DA-79BE78301F82}"/>
    <cellStyle name="Currency 5 7 5 3" xfId="6316" xr:uid="{00000000-0005-0000-0000-0000900D0000}"/>
    <cellStyle name="Currency 5 7 5 3 2" xfId="15642" xr:uid="{F96B8A8F-AF60-446F-A23C-E0FFF4EEF322}"/>
    <cellStyle name="Currency 5 7 5 4" xfId="11425" xr:uid="{F39E1CAB-7202-481B-AD28-FC0009AEFA49}"/>
    <cellStyle name="Currency 5 7 6" xfId="2445" xr:uid="{00000000-0005-0000-0000-0000910D0000}"/>
    <cellStyle name="Currency 5 7 6 2" xfId="6729" xr:uid="{00000000-0005-0000-0000-0000920D0000}"/>
    <cellStyle name="Currency 5 7 6 2 2" xfId="16055" xr:uid="{C8F4E33B-BA76-4A83-BBEB-FD4747BE0B5F}"/>
    <cellStyle name="Currency 5 7 6 3" xfId="11838" xr:uid="{34242BB4-A53D-432E-A444-D0E732523AB5}"/>
    <cellStyle name="Currency 5 7 7" xfId="2742" xr:uid="{00000000-0005-0000-0000-0000930D0000}"/>
    <cellStyle name="Currency 5 7 8" xfId="2823" xr:uid="{00000000-0005-0000-0000-0000940D0000}"/>
    <cellStyle name="Currency 5 7 8 2" xfId="7046" xr:uid="{00000000-0005-0000-0000-0000950D0000}"/>
    <cellStyle name="Currency 5 7 8 2 2" xfId="16372" xr:uid="{98B220FA-4965-4EF0-A648-58558475E336}"/>
    <cellStyle name="Currency 5 7 8 3" xfId="12155" xr:uid="{6154ECD7-A630-4C7C-ACDB-3F3E70161798}"/>
    <cellStyle name="Currency 5 7 9" xfId="4663" xr:uid="{00000000-0005-0000-0000-0000960D0000}"/>
    <cellStyle name="Currency 5 7 9 2" xfId="13989" xr:uid="{8E3B7513-0932-4A65-AFF2-814E48BD96A7}"/>
    <cellStyle name="Currency 5 8" xfId="721" xr:uid="{00000000-0005-0000-0000-0000970D0000}"/>
    <cellStyle name="Currency 5 9" xfId="8747" xr:uid="{CCFF1C6E-BA46-44B7-A8DD-B170160D04FF}"/>
    <cellStyle name="Currency 5 9 2" xfId="18071" xr:uid="{A5B8D090-CDD2-4F0E-BCE4-22EC85CC2E41}"/>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0 2 2" xfId="16056" xr:uid="{C2E24EFE-1294-4964-BC68-932901A1603C}"/>
    <cellStyle name="Normal 12 10 3" xfId="11839" xr:uid="{79C2AA64-DD15-4C16-8288-E2A51C5B842C}"/>
    <cellStyle name="Normal 12 11" xfId="4664" xr:uid="{00000000-0005-0000-0000-0000CC0D0000}"/>
    <cellStyle name="Normal 12 11 2" xfId="13990" xr:uid="{CA74BEE1-7EFB-48A4-B967-CE7B13AE8AF8}"/>
    <cellStyle name="Normal 12 12" xfId="8770" xr:uid="{16E7F001-A88D-4413-825E-78352A31064A}"/>
    <cellStyle name="Normal 12 12 2" xfId="18094" xr:uid="{240DB727-DDCA-42ED-BE92-C30F11F8B832}"/>
    <cellStyle name="Normal 12 13" xfId="9773" xr:uid="{D90D29AF-0235-4CAF-8720-6D8C36333C0A}"/>
    <cellStyle name="Normal 12 2" xfId="260" xr:uid="{00000000-0005-0000-0000-0000CD0D0000}"/>
    <cellStyle name="Normal 12 2 10" xfId="8811" xr:uid="{C610EFA7-DF28-475D-A7AA-61B6675A083B}"/>
    <cellStyle name="Normal 12 2 10 2" xfId="18135" xr:uid="{D652992A-CFC2-4BEF-9359-511410C95778}"/>
    <cellStyle name="Normal 12 2 11" xfId="9774" xr:uid="{2886057A-84D0-4F9F-B46E-262369023C28}"/>
    <cellStyle name="Normal 12 2 2" xfId="261" xr:uid="{00000000-0005-0000-0000-0000CE0D0000}"/>
    <cellStyle name="Normal 12 2 2 10" xfId="9775" xr:uid="{D6085498-15E8-4E82-BA39-5568E1D7871B}"/>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2 2 2" xfId="16552" xr:uid="{C6AEE656-322E-4B7C-B364-A0381F661FB6}"/>
    <cellStyle name="Normal 12 2 2 2 2 2 3" xfId="12335" xr:uid="{3A12E60B-A076-44DB-AFCA-F980A211865D}"/>
    <cellStyle name="Normal 12 2 2 2 2 3" xfId="5081" xr:uid="{00000000-0005-0000-0000-0000D30D0000}"/>
    <cellStyle name="Normal 12 2 2 2 2 3 2" xfId="14407" xr:uid="{38E120F3-4042-4480-BFB7-DF4209C2079C}"/>
    <cellStyle name="Normal 12 2 2 2 2 4" xfId="9546" xr:uid="{609DE280-4DA3-4355-9F1C-9E01708347EA}"/>
    <cellStyle name="Normal 12 2 2 2 2 4 2" xfId="18861" xr:uid="{A2989A16-D4C7-40B2-AEAB-9CA810F6A083}"/>
    <cellStyle name="Normal 12 2 2 2 2 5" xfId="10190" xr:uid="{301688CF-5D1F-40C1-BFBA-A78128CD0B27}"/>
    <cellStyle name="Normal 12 2 2 2 3" xfId="1186" xr:uid="{00000000-0005-0000-0000-0000D40D0000}"/>
    <cellStyle name="Normal 12 2 2 2 3 2" xfId="3417" xr:uid="{00000000-0005-0000-0000-0000D50D0000}"/>
    <cellStyle name="Normal 12 2 2 2 3 2 2" xfId="7639" xr:uid="{00000000-0005-0000-0000-0000D60D0000}"/>
    <cellStyle name="Normal 12 2 2 2 3 2 2 2" xfId="16965" xr:uid="{C8C33C6F-D64A-49BF-9AA5-A90DC8931DB8}"/>
    <cellStyle name="Normal 12 2 2 2 3 2 3" xfId="12748" xr:uid="{CDB5FA44-4A26-4DD4-A6FD-27F928F86646}"/>
    <cellStyle name="Normal 12 2 2 2 3 3" xfId="5494" xr:uid="{00000000-0005-0000-0000-0000D70D0000}"/>
    <cellStyle name="Normal 12 2 2 2 3 3 2" xfId="14820" xr:uid="{72EAF4D1-B2D8-4EE4-A94E-3FB42E148E5F}"/>
    <cellStyle name="Normal 12 2 2 2 3 4" xfId="10603" xr:uid="{73733B48-EB11-4F57-884B-D69D763926D0}"/>
    <cellStyle name="Normal 12 2 2 2 4" xfId="1600" xr:uid="{00000000-0005-0000-0000-0000D80D0000}"/>
    <cellStyle name="Normal 12 2 2 2 4 2" xfId="3830" xr:uid="{00000000-0005-0000-0000-0000D90D0000}"/>
    <cellStyle name="Normal 12 2 2 2 4 2 2" xfId="8052" xr:uid="{00000000-0005-0000-0000-0000DA0D0000}"/>
    <cellStyle name="Normal 12 2 2 2 4 2 2 2" xfId="17378" xr:uid="{0A6C9B35-EA14-4C9E-AD45-E85D8D72FA19}"/>
    <cellStyle name="Normal 12 2 2 2 4 2 3" xfId="13161" xr:uid="{DA386D08-5F85-4CF5-B975-8654F0AA4955}"/>
    <cellStyle name="Normal 12 2 2 2 4 3" xfId="5907" xr:uid="{00000000-0005-0000-0000-0000DB0D0000}"/>
    <cellStyle name="Normal 12 2 2 2 4 3 2" xfId="15233" xr:uid="{08F69D77-5D96-4468-8A2C-DFC6BD58DAD4}"/>
    <cellStyle name="Normal 12 2 2 2 4 4" xfId="11016" xr:uid="{B6DB9B4D-F526-4665-880E-9A7BDCE3EBA0}"/>
    <cellStyle name="Normal 12 2 2 2 5" xfId="2014" xr:uid="{00000000-0005-0000-0000-0000DC0D0000}"/>
    <cellStyle name="Normal 12 2 2 2 5 2" xfId="4243" xr:uid="{00000000-0005-0000-0000-0000DD0D0000}"/>
    <cellStyle name="Normal 12 2 2 2 5 2 2" xfId="8465" xr:uid="{00000000-0005-0000-0000-0000DE0D0000}"/>
    <cellStyle name="Normal 12 2 2 2 5 2 2 2" xfId="17791" xr:uid="{A1C3905D-3186-4649-9079-E80F5E08F988}"/>
    <cellStyle name="Normal 12 2 2 2 5 2 3" xfId="13574" xr:uid="{AEEED892-D4B7-4B2B-88E6-3D2102FF6C8E}"/>
    <cellStyle name="Normal 12 2 2 2 5 3" xfId="6320" xr:uid="{00000000-0005-0000-0000-0000DF0D0000}"/>
    <cellStyle name="Normal 12 2 2 2 5 3 2" xfId="15646" xr:uid="{4361DA3E-6E61-4E5D-AFBF-49276AD55BA8}"/>
    <cellStyle name="Normal 12 2 2 2 5 4" xfId="11429" xr:uid="{5024D442-8D1B-4B39-B011-D41DBC88633B}"/>
    <cellStyle name="Normal 12 2 2 2 6" xfId="2450" xr:uid="{00000000-0005-0000-0000-0000E00D0000}"/>
    <cellStyle name="Normal 12 2 2 2 6 2" xfId="6733" xr:uid="{00000000-0005-0000-0000-0000E10D0000}"/>
    <cellStyle name="Normal 12 2 2 2 6 2 2" xfId="16059" xr:uid="{6C327068-5E2F-40C9-9994-D6D63EA11C17}"/>
    <cellStyle name="Normal 12 2 2 2 6 3" xfId="11842" xr:uid="{CB3F2E44-2382-456E-A048-3C4CAF39AC23}"/>
    <cellStyle name="Normal 12 2 2 2 7" xfId="4667" xr:uid="{00000000-0005-0000-0000-0000E20D0000}"/>
    <cellStyle name="Normal 12 2 2 2 7 2" xfId="13993" xr:uid="{B6018532-92CE-4B65-A094-439011F368B1}"/>
    <cellStyle name="Normal 12 2 2 2 8" xfId="9121" xr:uid="{527C15BB-BE4D-46AB-9317-CC8E6838C91D}"/>
    <cellStyle name="Normal 12 2 2 2 8 2" xfId="18445" xr:uid="{62E64AC7-8015-4EDA-AD85-B60D557CA13B}"/>
    <cellStyle name="Normal 12 2 2 2 9" xfId="9776" xr:uid="{9B3D52B1-FF0E-48B4-B141-6C922436504F}"/>
    <cellStyle name="Normal 12 2 2 3" xfId="762" xr:uid="{00000000-0005-0000-0000-0000E30D0000}"/>
    <cellStyle name="Normal 12 2 2 3 2" xfId="3003" xr:uid="{00000000-0005-0000-0000-0000E40D0000}"/>
    <cellStyle name="Normal 12 2 2 3 2 2" xfId="7225" xr:uid="{00000000-0005-0000-0000-0000E50D0000}"/>
    <cellStyle name="Normal 12 2 2 3 2 2 2" xfId="16551" xr:uid="{FDB89CEF-AF98-4D9C-AA28-41963645FFFD}"/>
    <cellStyle name="Normal 12 2 2 3 2 3" xfId="12334" xr:uid="{7E04B3A2-831B-407C-BFC8-8F7E8C1B53A1}"/>
    <cellStyle name="Normal 12 2 2 3 3" xfId="5080" xr:uid="{00000000-0005-0000-0000-0000E60D0000}"/>
    <cellStyle name="Normal 12 2 2 3 3 2" xfId="14406" xr:uid="{FB86263B-A403-4894-A1D3-F1C6708AB74E}"/>
    <cellStyle name="Normal 12 2 2 3 4" xfId="9339" xr:uid="{F3F800C1-92DF-4F1F-A561-C3F3C7F8BAD1}"/>
    <cellStyle name="Normal 12 2 2 3 4 2" xfId="18654" xr:uid="{F161424B-5A44-481F-AAE8-AC0BC955B6BF}"/>
    <cellStyle name="Normal 12 2 2 3 5" xfId="10189" xr:uid="{A63D411C-4F75-472F-A311-CC05141CC511}"/>
    <cellStyle name="Normal 12 2 2 4" xfId="1185" xr:uid="{00000000-0005-0000-0000-0000E70D0000}"/>
    <cellStyle name="Normal 12 2 2 4 2" xfId="3416" xr:uid="{00000000-0005-0000-0000-0000E80D0000}"/>
    <cellStyle name="Normal 12 2 2 4 2 2" xfId="7638" xr:uid="{00000000-0005-0000-0000-0000E90D0000}"/>
    <cellStyle name="Normal 12 2 2 4 2 2 2" xfId="16964" xr:uid="{98D8E77F-A1E0-4689-87B6-993A3850BAFF}"/>
    <cellStyle name="Normal 12 2 2 4 2 3" xfId="12747" xr:uid="{B2BFBA8C-A198-4ED1-8840-28FE49AD63AB}"/>
    <cellStyle name="Normal 12 2 2 4 3" xfId="5493" xr:uid="{00000000-0005-0000-0000-0000EA0D0000}"/>
    <cellStyle name="Normal 12 2 2 4 3 2" xfId="14819" xr:uid="{9D48D250-A7DF-4A5B-8B7A-DFC5C64DAB13}"/>
    <cellStyle name="Normal 12 2 2 4 4" xfId="10602" xr:uid="{6CCCB1FF-4DC9-471B-B726-9E5ED69ADD7D}"/>
    <cellStyle name="Normal 12 2 2 5" xfId="1599" xr:uid="{00000000-0005-0000-0000-0000EB0D0000}"/>
    <cellStyle name="Normal 12 2 2 5 2" xfId="3829" xr:uid="{00000000-0005-0000-0000-0000EC0D0000}"/>
    <cellStyle name="Normal 12 2 2 5 2 2" xfId="8051" xr:uid="{00000000-0005-0000-0000-0000ED0D0000}"/>
    <cellStyle name="Normal 12 2 2 5 2 2 2" xfId="17377" xr:uid="{56A182BB-F42E-4EEC-9A0E-54698E705AD8}"/>
    <cellStyle name="Normal 12 2 2 5 2 3" xfId="13160" xr:uid="{199A5A96-FD86-47EF-93EF-D68A8A8096B5}"/>
    <cellStyle name="Normal 12 2 2 5 3" xfId="5906" xr:uid="{00000000-0005-0000-0000-0000EE0D0000}"/>
    <cellStyle name="Normal 12 2 2 5 3 2" xfId="15232" xr:uid="{44AC19AA-2021-4D5E-8272-4CA79CC48B7F}"/>
    <cellStyle name="Normal 12 2 2 5 4" xfId="11015" xr:uid="{99C47439-F5DE-4A9B-B593-4F2F6EA6CAAB}"/>
    <cellStyle name="Normal 12 2 2 6" xfId="2013" xr:uid="{00000000-0005-0000-0000-0000EF0D0000}"/>
    <cellStyle name="Normal 12 2 2 6 2" xfId="4242" xr:uid="{00000000-0005-0000-0000-0000F00D0000}"/>
    <cellStyle name="Normal 12 2 2 6 2 2" xfId="8464" xr:uid="{00000000-0005-0000-0000-0000F10D0000}"/>
    <cellStyle name="Normal 12 2 2 6 2 2 2" xfId="17790" xr:uid="{26F8C549-5C4A-4B17-B4FD-D84515807ECD}"/>
    <cellStyle name="Normal 12 2 2 6 2 3" xfId="13573" xr:uid="{D668C0CC-8E9C-4EAE-8450-D6959D802D6E}"/>
    <cellStyle name="Normal 12 2 2 6 3" xfId="6319" xr:uid="{00000000-0005-0000-0000-0000F20D0000}"/>
    <cellStyle name="Normal 12 2 2 6 3 2" xfId="15645" xr:uid="{58576FFB-370D-4B33-B275-6D2ECF4614C5}"/>
    <cellStyle name="Normal 12 2 2 6 4" xfId="11428" xr:uid="{B75030DB-A42C-43C1-9500-EDB1A98498A3}"/>
    <cellStyle name="Normal 12 2 2 7" xfId="2449" xr:uid="{00000000-0005-0000-0000-0000F30D0000}"/>
    <cellStyle name="Normal 12 2 2 7 2" xfId="6732" xr:uid="{00000000-0005-0000-0000-0000F40D0000}"/>
    <cellStyle name="Normal 12 2 2 7 2 2" xfId="16058" xr:uid="{EF9A3DFC-3530-4460-8D32-DD5D526DB29D}"/>
    <cellStyle name="Normal 12 2 2 7 3" xfId="11841" xr:uid="{120AF162-14E7-4DE2-B048-0A7232A54925}"/>
    <cellStyle name="Normal 12 2 2 8" xfId="4666" xr:uid="{00000000-0005-0000-0000-0000F50D0000}"/>
    <cellStyle name="Normal 12 2 2 8 2" xfId="13992" xr:uid="{9743F7C2-10F9-4E56-89D1-08B339DD4711}"/>
    <cellStyle name="Normal 12 2 2 9" xfId="8914" xr:uid="{85903DBC-FA0A-4A9D-9FB4-BA36A4B6F510}"/>
    <cellStyle name="Normal 12 2 2 9 2" xfId="18238" xr:uid="{83A3F980-3FD1-4F42-BB67-A28C36DC9B3D}"/>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2 2 2" xfId="16553" xr:uid="{80F94DD6-8A9D-461A-A81C-FA6EBE2F3A31}"/>
    <cellStyle name="Normal 12 2 3 2 2 3" xfId="12336" xr:uid="{AD73AA5E-7A80-46E3-BF81-325439A404EB}"/>
    <cellStyle name="Normal 12 2 3 2 3" xfId="5082" xr:uid="{00000000-0005-0000-0000-0000FA0D0000}"/>
    <cellStyle name="Normal 12 2 3 2 3 2" xfId="14408" xr:uid="{62AAAD40-410F-4FFF-9D0B-073A53E39D50}"/>
    <cellStyle name="Normal 12 2 3 2 4" xfId="9443" xr:uid="{61F0A971-1285-4215-8170-49D07520551A}"/>
    <cellStyle name="Normal 12 2 3 2 4 2" xfId="18758" xr:uid="{747645DC-5265-41E6-A261-88AD6E764370}"/>
    <cellStyle name="Normal 12 2 3 2 5" xfId="10191" xr:uid="{759CADA6-033D-46F3-B47D-BF91F3BD8885}"/>
    <cellStyle name="Normal 12 2 3 3" xfId="1187" xr:uid="{00000000-0005-0000-0000-0000FB0D0000}"/>
    <cellStyle name="Normal 12 2 3 3 2" xfId="3418" xr:uid="{00000000-0005-0000-0000-0000FC0D0000}"/>
    <cellStyle name="Normal 12 2 3 3 2 2" xfId="7640" xr:uid="{00000000-0005-0000-0000-0000FD0D0000}"/>
    <cellStyle name="Normal 12 2 3 3 2 2 2" xfId="16966" xr:uid="{5E77079A-99E4-4370-9950-A3DAB7855AFA}"/>
    <cellStyle name="Normal 12 2 3 3 2 3" xfId="12749" xr:uid="{EE4EBD90-22CF-4513-9996-5349FD4F687D}"/>
    <cellStyle name="Normal 12 2 3 3 3" xfId="5495" xr:uid="{00000000-0005-0000-0000-0000FE0D0000}"/>
    <cellStyle name="Normal 12 2 3 3 3 2" xfId="14821" xr:uid="{ACA195ED-4B69-4A34-8245-90ADFD50C73B}"/>
    <cellStyle name="Normal 12 2 3 3 4" xfId="10604" xr:uid="{316E2048-8FB1-445D-9A1A-BAEE79CA4B68}"/>
    <cellStyle name="Normal 12 2 3 4" xfId="1601" xr:uid="{00000000-0005-0000-0000-0000FF0D0000}"/>
    <cellStyle name="Normal 12 2 3 4 2" xfId="3831" xr:uid="{00000000-0005-0000-0000-0000000E0000}"/>
    <cellStyle name="Normal 12 2 3 4 2 2" xfId="8053" xr:uid="{00000000-0005-0000-0000-0000010E0000}"/>
    <cellStyle name="Normal 12 2 3 4 2 2 2" xfId="17379" xr:uid="{E0CB8618-E398-4479-A36D-F5BEE8D22CFE}"/>
    <cellStyle name="Normal 12 2 3 4 2 3" xfId="13162" xr:uid="{8203E426-D79E-4961-81C1-08461AE43437}"/>
    <cellStyle name="Normal 12 2 3 4 3" xfId="5908" xr:uid="{00000000-0005-0000-0000-0000020E0000}"/>
    <cellStyle name="Normal 12 2 3 4 3 2" xfId="15234" xr:uid="{CB21A4B5-073E-44DB-BD6C-4A5DEEA411E5}"/>
    <cellStyle name="Normal 12 2 3 4 4" xfId="11017" xr:uid="{A174163C-EB0A-455B-9083-5454ACEC4B2B}"/>
    <cellStyle name="Normal 12 2 3 5" xfId="2015" xr:uid="{00000000-0005-0000-0000-0000030E0000}"/>
    <cellStyle name="Normal 12 2 3 5 2" xfId="4244" xr:uid="{00000000-0005-0000-0000-0000040E0000}"/>
    <cellStyle name="Normal 12 2 3 5 2 2" xfId="8466" xr:uid="{00000000-0005-0000-0000-0000050E0000}"/>
    <cellStyle name="Normal 12 2 3 5 2 2 2" xfId="17792" xr:uid="{3E827254-4172-4C47-A1E9-AD053F21AEAE}"/>
    <cellStyle name="Normal 12 2 3 5 2 3" xfId="13575" xr:uid="{02E92BA0-2DBB-4942-BE4F-56102F1226DA}"/>
    <cellStyle name="Normal 12 2 3 5 3" xfId="6321" xr:uid="{00000000-0005-0000-0000-0000060E0000}"/>
    <cellStyle name="Normal 12 2 3 5 3 2" xfId="15647" xr:uid="{8DE2DC24-5445-4354-906E-DC3D4CB6B6F4}"/>
    <cellStyle name="Normal 12 2 3 5 4" xfId="11430" xr:uid="{C92D65C4-D8A9-4D21-904E-1698E16268FC}"/>
    <cellStyle name="Normal 12 2 3 6" xfId="2451" xr:uid="{00000000-0005-0000-0000-0000070E0000}"/>
    <cellStyle name="Normal 12 2 3 6 2" xfId="6734" xr:uid="{00000000-0005-0000-0000-0000080E0000}"/>
    <cellStyle name="Normal 12 2 3 6 2 2" xfId="16060" xr:uid="{72B80D34-820F-4C14-B2FB-A12CBA3FC376}"/>
    <cellStyle name="Normal 12 2 3 6 3" xfId="11843" xr:uid="{50D66F07-8C9E-42B6-9321-B0D1CF60DC0A}"/>
    <cellStyle name="Normal 12 2 3 7" xfId="4668" xr:uid="{00000000-0005-0000-0000-0000090E0000}"/>
    <cellStyle name="Normal 12 2 3 7 2" xfId="13994" xr:uid="{0AF0462B-B178-470C-A9CE-DEC46F4CCD52}"/>
    <cellStyle name="Normal 12 2 3 8" xfId="9018" xr:uid="{C3F41DC6-3A80-4145-A68D-169ABB54B6D0}"/>
    <cellStyle name="Normal 12 2 3 8 2" xfId="18342" xr:uid="{06E770FF-5C96-4CE8-BE70-183A3EADC102}"/>
    <cellStyle name="Normal 12 2 3 9" xfId="9777" xr:uid="{E6912600-0035-4788-A7A2-571ADF501BF1}"/>
    <cellStyle name="Normal 12 2 4" xfId="761" xr:uid="{00000000-0005-0000-0000-00000A0E0000}"/>
    <cellStyle name="Normal 12 2 4 2" xfId="3002" xr:uid="{00000000-0005-0000-0000-00000B0E0000}"/>
    <cellStyle name="Normal 12 2 4 2 2" xfId="7224" xr:uid="{00000000-0005-0000-0000-00000C0E0000}"/>
    <cellStyle name="Normal 12 2 4 2 2 2" xfId="16550" xr:uid="{CA9B9821-81AD-40AF-9604-08A4F42C44CF}"/>
    <cellStyle name="Normal 12 2 4 2 3" xfId="12333" xr:uid="{AC414007-F983-4090-A70E-4911716F65D9}"/>
    <cellStyle name="Normal 12 2 4 3" xfId="5079" xr:uid="{00000000-0005-0000-0000-00000D0E0000}"/>
    <cellStyle name="Normal 12 2 4 3 2" xfId="14405" xr:uid="{08723C32-0D4A-4BD8-93DC-EBCC650A12BF}"/>
    <cellStyle name="Normal 12 2 4 4" xfId="9236" xr:uid="{C3D0196D-4BB3-4870-9762-A3CF40E5B45B}"/>
    <cellStyle name="Normal 12 2 4 4 2" xfId="18551" xr:uid="{4D5F91C3-607D-4865-9076-EA8667783828}"/>
    <cellStyle name="Normal 12 2 4 5" xfId="10188" xr:uid="{947C76ED-0DC0-40E8-9206-99B6CC32EEDE}"/>
    <cellStyle name="Normal 12 2 5" xfId="1184" xr:uid="{00000000-0005-0000-0000-00000E0E0000}"/>
    <cellStyle name="Normal 12 2 5 2" xfId="3415" xr:uid="{00000000-0005-0000-0000-00000F0E0000}"/>
    <cellStyle name="Normal 12 2 5 2 2" xfId="7637" xr:uid="{00000000-0005-0000-0000-0000100E0000}"/>
    <cellStyle name="Normal 12 2 5 2 2 2" xfId="16963" xr:uid="{F093B871-1350-408B-BFBB-2CABF4817EC3}"/>
    <cellStyle name="Normal 12 2 5 2 3" xfId="12746" xr:uid="{6722BC03-EC70-499F-9FBB-82EB9865C0A5}"/>
    <cellStyle name="Normal 12 2 5 3" xfId="5492" xr:uid="{00000000-0005-0000-0000-0000110E0000}"/>
    <cellStyle name="Normal 12 2 5 3 2" xfId="14818" xr:uid="{B990F953-08B7-479C-BA00-48C2C2E79623}"/>
    <cellStyle name="Normal 12 2 5 4" xfId="10601" xr:uid="{EA87286B-D762-44AE-B27C-FC80810F29B9}"/>
    <cellStyle name="Normal 12 2 6" xfId="1598" xr:uid="{00000000-0005-0000-0000-0000120E0000}"/>
    <cellStyle name="Normal 12 2 6 2" xfId="3828" xr:uid="{00000000-0005-0000-0000-0000130E0000}"/>
    <cellStyle name="Normal 12 2 6 2 2" xfId="8050" xr:uid="{00000000-0005-0000-0000-0000140E0000}"/>
    <cellStyle name="Normal 12 2 6 2 2 2" xfId="17376" xr:uid="{605380CC-96E8-47B0-8039-D5F040DC86B3}"/>
    <cellStyle name="Normal 12 2 6 2 3" xfId="13159" xr:uid="{12C53CEB-AB39-427A-AD89-7D77E0DFBF91}"/>
    <cellStyle name="Normal 12 2 6 3" xfId="5905" xr:uid="{00000000-0005-0000-0000-0000150E0000}"/>
    <cellStyle name="Normal 12 2 6 3 2" xfId="15231" xr:uid="{B14F15EE-0E32-495D-B4F1-835E28A9EC22}"/>
    <cellStyle name="Normal 12 2 6 4" xfId="11014" xr:uid="{8FDE308C-BE70-4943-B5F4-3D7F2FAE4474}"/>
    <cellStyle name="Normal 12 2 7" xfId="2012" xr:uid="{00000000-0005-0000-0000-0000160E0000}"/>
    <cellStyle name="Normal 12 2 7 2" xfId="4241" xr:uid="{00000000-0005-0000-0000-0000170E0000}"/>
    <cellStyle name="Normal 12 2 7 2 2" xfId="8463" xr:uid="{00000000-0005-0000-0000-0000180E0000}"/>
    <cellStyle name="Normal 12 2 7 2 2 2" xfId="17789" xr:uid="{7A05C5AF-C860-469E-80E2-B401863D5655}"/>
    <cellStyle name="Normal 12 2 7 2 3" xfId="13572" xr:uid="{4A8CFBDA-A064-4BB4-B182-3D3E465F0304}"/>
    <cellStyle name="Normal 12 2 7 3" xfId="6318" xr:uid="{00000000-0005-0000-0000-0000190E0000}"/>
    <cellStyle name="Normal 12 2 7 3 2" xfId="15644" xr:uid="{A861269C-BEE1-4D29-AFBF-287B09974B65}"/>
    <cellStyle name="Normal 12 2 7 4" xfId="11427" xr:uid="{4DEE07CD-B42B-4729-9E7A-E91A80C540AC}"/>
    <cellStyle name="Normal 12 2 8" xfId="2448" xr:uid="{00000000-0005-0000-0000-00001A0E0000}"/>
    <cellStyle name="Normal 12 2 8 2" xfId="6731" xr:uid="{00000000-0005-0000-0000-00001B0E0000}"/>
    <cellStyle name="Normal 12 2 8 2 2" xfId="16057" xr:uid="{58A7E30E-707A-4EA5-B438-3D99DA64D629}"/>
    <cellStyle name="Normal 12 2 8 3" xfId="11840" xr:uid="{8618D674-C1DF-474A-80A0-1F3864F6366E}"/>
    <cellStyle name="Normal 12 2 9" xfId="4665" xr:uid="{00000000-0005-0000-0000-00001C0E0000}"/>
    <cellStyle name="Normal 12 2 9 2" xfId="13991" xr:uid="{B69AC132-7270-4E85-997A-53F6076B36B3}"/>
    <cellStyle name="Normal 12 3" xfId="264" xr:uid="{00000000-0005-0000-0000-00001D0E0000}"/>
    <cellStyle name="Normal 12 3 10" xfId="9778" xr:uid="{528E474C-0756-423E-A6D2-186B8C004CB2}"/>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2 2 2" xfId="16555" xr:uid="{0F62DA9E-F927-44C1-81C7-D7D524B28817}"/>
    <cellStyle name="Normal 12 3 2 2 2 3" xfId="12338" xr:uid="{DE099EBD-08E7-403B-A73D-7C66498FDF8F}"/>
    <cellStyle name="Normal 12 3 2 2 3" xfId="5084" xr:uid="{00000000-0005-0000-0000-0000220E0000}"/>
    <cellStyle name="Normal 12 3 2 2 3 2" xfId="14410" xr:uid="{0D892D2E-F20C-4BBF-B538-BE7BDB8D244D}"/>
    <cellStyle name="Normal 12 3 2 2 4" xfId="9505" xr:uid="{B127619B-367D-40AD-851E-01DDBB2DCD13}"/>
    <cellStyle name="Normal 12 3 2 2 4 2" xfId="18820" xr:uid="{E6DB76E6-CCC7-41F6-A9C0-70C2B75C60C3}"/>
    <cellStyle name="Normal 12 3 2 2 5" xfId="10193" xr:uid="{13B124B5-AAD5-40D2-AFA3-0964F2462499}"/>
    <cellStyle name="Normal 12 3 2 3" xfId="1189" xr:uid="{00000000-0005-0000-0000-0000230E0000}"/>
    <cellStyle name="Normal 12 3 2 3 2" xfId="3420" xr:uid="{00000000-0005-0000-0000-0000240E0000}"/>
    <cellStyle name="Normal 12 3 2 3 2 2" xfId="7642" xr:uid="{00000000-0005-0000-0000-0000250E0000}"/>
    <cellStyle name="Normal 12 3 2 3 2 2 2" xfId="16968" xr:uid="{19C3D674-992A-41E9-BD5D-F1D7B1D00657}"/>
    <cellStyle name="Normal 12 3 2 3 2 3" xfId="12751" xr:uid="{FBD48864-D9C1-4A35-9BAA-3CD5BAF774CF}"/>
    <cellStyle name="Normal 12 3 2 3 3" xfId="5497" xr:uid="{00000000-0005-0000-0000-0000260E0000}"/>
    <cellStyle name="Normal 12 3 2 3 3 2" xfId="14823" xr:uid="{578A7ABE-D769-4D1C-906A-19DC794D419D}"/>
    <cellStyle name="Normal 12 3 2 3 4" xfId="10606" xr:uid="{DD868E8B-345B-4F08-903A-428A01737CFD}"/>
    <cellStyle name="Normal 12 3 2 4" xfId="1603" xr:uid="{00000000-0005-0000-0000-0000270E0000}"/>
    <cellStyle name="Normal 12 3 2 4 2" xfId="3833" xr:uid="{00000000-0005-0000-0000-0000280E0000}"/>
    <cellStyle name="Normal 12 3 2 4 2 2" xfId="8055" xr:uid="{00000000-0005-0000-0000-0000290E0000}"/>
    <cellStyle name="Normal 12 3 2 4 2 2 2" xfId="17381" xr:uid="{FAA36625-8F66-455F-A549-41049963EAFA}"/>
    <cellStyle name="Normal 12 3 2 4 2 3" xfId="13164" xr:uid="{4A81EF1E-69AF-4ED1-ABFD-09A6CE0A0D82}"/>
    <cellStyle name="Normal 12 3 2 4 3" xfId="5910" xr:uid="{00000000-0005-0000-0000-00002A0E0000}"/>
    <cellStyle name="Normal 12 3 2 4 3 2" xfId="15236" xr:uid="{F3D6A03D-6AA8-4E66-8354-EA832F55C257}"/>
    <cellStyle name="Normal 12 3 2 4 4" xfId="11019" xr:uid="{7C67CBEE-50B7-48CF-8479-DC62FAF7627B}"/>
    <cellStyle name="Normal 12 3 2 5" xfId="2017" xr:uid="{00000000-0005-0000-0000-00002B0E0000}"/>
    <cellStyle name="Normal 12 3 2 5 2" xfId="4246" xr:uid="{00000000-0005-0000-0000-00002C0E0000}"/>
    <cellStyle name="Normal 12 3 2 5 2 2" xfId="8468" xr:uid="{00000000-0005-0000-0000-00002D0E0000}"/>
    <cellStyle name="Normal 12 3 2 5 2 2 2" xfId="17794" xr:uid="{E751C155-5FE1-4608-8699-2B3F9DF32BD5}"/>
    <cellStyle name="Normal 12 3 2 5 2 3" xfId="13577" xr:uid="{7372FF1C-D3FC-4235-93BD-232F38BC64F8}"/>
    <cellStyle name="Normal 12 3 2 5 3" xfId="6323" xr:uid="{00000000-0005-0000-0000-00002E0E0000}"/>
    <cellStyle name="Normal 12 3 2 5 3 2" xfId="15649" xr:uid="{9FEA6887-8E29-4021-9FFC-D92BB4A425CE}"/>
    <cellStyle name="Normal 12 3 2 5 4" xfId="11432" xr:uid="{9CE72F25-447A-4AB5-A3A6-CDC4F6CAF5BA}"/>
    <cellStyle name="Normal 12 3 2 6" xfId="2453" xr:uid="{00000000-0005-0000-0000-00002F0E0000}"/>
    <cellStyle name="Normal 12 3 2 6 2" xfId="6736" xr:uid="{00000000-0005-0000-0000-0000300E0000}"/>
    <cellStyle name="Normal 12 3 2 6 2 2" xfId="16062" xr:uid="{662A6A82-964B-43A8-8157-81A5A1E98C92}"/>
    <cellStyle name="Normal 12 3 2 6 3" xfId="11845" xr:uid="{46C97A71-A6ED-4E05-8A87-011970CF11C0}"/>
    <cellStyle name="Normal 12 3 2 7" xfId="4670" xr:uid="{00000000-0005-0000-0000-0000310E0000}"/>
    <cellStyle name="Normal 12 3 2 7 2" xfId="13996" xr:uid="{DD474648-8FAF-4964-940B-EDDA9AE529BF}"/>
    <cellStyle name="Normal 12 3 2 8" xfId="9080" xr:uid="{403F3083-4A9F-4295-B676-C31241B8936E}"/>
    <cellStyle name="Normal 12 3 2 8 2" xfId="18404" xr:uid="{4BF5EBEE-8501-40C4-BC07-1702A75B8389}"/>
    <cellStyle name="Normal 12 3 2 9" xfId="9779" xr:uid="{3332C11A-2950-4141-A304-D51B7E06E417}"/>
    <cellStyle name="Normal 12 3 3" xfId="765" xr:uid="{00000000-0005-0000-0000-0000320E0000}"/>
    <cellStyle name="Normal 12 3 3 2" xfId="3006" xr:uid="{00000000-0005-0000-0000-0000330E0000}"/>
    <cellStyle name="Normal 12 3 3 2 2" xfId="7228" xr:uid="{00000000-0005-0000-0000-0000340E0000}"/>
    <cellStyle name="Normal 12 3 3 2 2 2" xfId="16554" xr:uid="{89DA10DA-7E92-4657-964B-10AAD537B8B1}"/>
    <cellStyle name="Normal 12 3 3 2 3" xfId="12337" xr:uid="{DE7988F5-323C-4FFE-884E-E2C2F8067AC5}"/>
    <cellStyle name="Normal 12 3 3 3" xfId="5083" xr:uid="{00000000-0005-0000-0000-0000350E0000}"/>
    <cellStyle name="Normal 12 3 3 3 2" xfId="14409" xr:uid="{C9FB0592-521B-424A-845B-4C3BB17D5355}"/>
    <cellStyle name="Normal 12 3 3 4" xfId="9298" xr:uid="{A6F9D711-F86A-406D-B160-91678C261745}"/>
    <cellStyle name="Normal 12 3 3 4 2" xfId="18613" xr:uid="{8D12D242-7536-4569-81A4-BCDF8BCE8A8D}"/>
    <cellStyle name="Normal 12 3 3 5" xfId="10192" xr:uid="{25FF8E17-BF7A-4F9A-B70A-89156BE97C25}"/>
    <cellStyle name="Normal 12 3 4" xfId="1188" xr:uid="{00000000-0005-0000-0000-0000360E0000}"/>
    <cellStyle name="Normal 12 3 4 2" xfId="3419" xr:uid="{00000000-0005-0000-0000-0000370E0000}"/>
    <cellStyle name="Normal 12 3 4 2 2" xfId="7641" xr:uid="{00000000-0005-0000-0000-0000380E0000}"/>
    <cellStyle name="Normal 12 3 4 2 2 2" xfId="16967" xr:uid="{B56399F9-A7A6-4FCC-854E-AF8AA987018A}"/>
    <cellStyle name="Normal 12 3 4 2 3" xfId="12750" xr:uid="{FDC3F1EC-AB06-41B9-A058-F03D60A0190A}"/>
    <cellStyle name="Normal 12 3 4 3" xfId="5496" xr:uid="{00000000-0005-0000-0000-0000390E0000}"/>
    <cellStyle name="Normal 12 3 4 3 2" xfId="14822" xr:uid="{85B6284F-4909-4B28-91AF-6BD97DFD4323}"/>
    <cellStyle name="Normal 12 3 4 4" xfId="10605" xr:uid="{965C67C3-DA9A-445F-BC28-7D203092385A}"/>
    <cellStyle name="Normal 12 3 5" xfId="1602" xr:uid="{00000000-0005-0000-0000-00003A0E0000}"/>
    <cellStyle name="Normal 12 3 5 2" xfId="3832" xr:uid="{00000000-0005-0000-0000-00003B0E0000}"/>
    <cellStyle name="Normal 12 3 5 2 2" xfId="8054" xr:uid="{00000000-0005-0000-0000-00003C0E0000}"/>
    <cellStyle name="Normal 12 3 5 2 2 2" xfId="17380" xr:uid="{0F5A982E-0B9E-47F9-8648-19ADFB6C76C9}"/>
    <cellStyle name="Normal 12 3 5 2 3" xfId="13163" xr:uid="{3F778066-D9FF-4A74-A0AC-7D070014EC7D}"/>
    <cellStyle name="Normal 12 3 5 3" xfId="5909" xr:uid="{00000000-0005-0000-0000-00003D0E0000}"/>
    <cellStyle name="Normal 12 3 5 3 2" xfId="15235" xr:uid="{4E6DFA6C-7368-4608-AF60-D73E97C76345}"/>
    <cellStyle name="Normal 12 3 5 4" xfId="11018" xr:uid="{57972C94-DEE0-4310-9288-A32C4FA09CE6}"/>
    <cellStyle name="Normal 12 3 6" xfId="2016" xr:uid="{00000000-0005-0000-0000-00003E0E0000}"/>
    <cellStyle name="Normal 12 3 6 2" xfId="4245" xr:uid="{00000000-0005-0000-0000-00003F0E0000}"/>
    <cellStyle name="Normal 12 3 6 2 2" xfId="8467" xr:uid="{00000000-0005-0000-0000-0000400E0000}"/>
    <cellStyle name="Normal 12 3 6 2 2 2" xfId="17793" xr:uid="{61194523-AFF0-43D8-8912-BCA5CD563ECD}"/>
    <cellStyle name="Normal 12 3 6 2 3" xfId="13576" xr:uid="{0B010484-3CDA-4FC8-B302-C2C634CBCEAC}"/>
    <cellStyle name="Normal 12 3 6 3" xfId="6322" xr:uid="{00000000-0005-0000-0000-0000410E0000}"/>
    <cellStyle name="Normal 12 3 6 3 2" xfId="15648" xr:uid="{E6FEDC54-93FE-4EFF-9C83-E039B6E2D015}"/>
    <cellStyle name="Normal 12 3 6 4" xfId="11431" xr:uid="{698A4EE9-45D8-46BC-9983-8198566A8EC1}"/>
    <cellStyle name="Normal 12 3 7" xfId="2452" xr:uid="{00000000-0005-0000-0000-0000420E0000}"/>
    <cellStyle name="Normal 12 3 7 2" xfId="6735" xr:uid="{00000000-0005-0000-0000-0000430E0000}"/>
    <cellStyle name="Normal 12 3 7 2 2" xfId="16061" xr:uid="{A62343C7-3337-43C5-8223-28B98AC2F45B}"/>
    <cellStyle name="Normal 12 3 7 3" xfId="11844" xr:uid="{5D22EC52-DAC4-4CD3-B8CF-1E9F80C97FA9}"/>
    <cellStyle name="Normal 12 3 8" xfId="4669" xr:uid="{00000000-0005-0000-0000-0000440E0000}"/>
    <cellStyle name="Normal 12 3 8 2" xfId="13995" xr:uid="{908339C5-8192-476E-9151-72026D2B56CE}"/>
    <cellStyle name="Normal 12 3 9" xfId="8873" xr:uid="{72AE7E6C-F254-4BFC-80A7-F73848FA4F21}"/>
    <cellStyle name="Normal 12 3 9 2" xfId="18197" xr:uid="{188CFB45-13E0-4396-8F80-8BD2C8CED5AD}"/>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2 2 2" xfId="16556" xr:uid="{A24AAA9B-9CF3-4B43-A684-C20A29AFDF1C}"/>
    <cellStyle name="Normal 12 4 2 2 3" xfId="12339" xr:uid="{60C68CC2-DBF9-48ED-8431-06F90184CC73}"/>
    <cellStyle name="Normal 12 4 2 3" xfId="5085" xr:uid="{00000000-0005-0000-0000-0000490E0000}"/>
    <cellStyle name="Normal 12 4 2 3 2" xfId="14411" xr:uid="{6A56071E-8662-41B5-9BCE-B0A86D6B9370}"/>
    <cellStyle name="Normal 12 4 2 4" xfId="9402" xr:uid="{F40C9AB7-F4D0-4A65-BBAA-FF5409160FE5}"/>
    <cellStyle name="Normal 12 4 2 4 2" xfId="18717" xr:uid="{ECD6C78F-0070-4C99-B2D8-CDDCA43B3B36}"/>
    <cellStyle name="Normal 12 4 2 5" xfId="10194" xr:uid="{16150768-A22E-4220-A113-D4AEB04978AC}"/>
    <cellStyle name="Normal 12 4 3" xfId="1190" xr:uid="{00000000-0005-0000-0000-00004A0E0000}"/>
    <cellStyle name="Normal 12 4 3 2" xfId="3421" xr:uid="{00000000-0005-0000-0000-00004B0E0000}"/>
    <cellStyle name="Normal 12 4 3 2 2" xfId="7643" xr:uid="{00000000-0005-0000-0000-00004C0E0000}"/>
    <cellStyle name="Normal 12 4 3 2 2 2" xfId="16969" xr:uid="{E910723F-9566-4567-A76C-CAAEF8FFB28D}"/>
    <cellStyle name="Normal 12 4 3 2 3" xfId="12752" xr:uid="{B9C17F04-635C-4C36-8E21-AFD49E0A250E}"/>
    <cellStyle name="Normal 12 4 3 3" xfId="5498" xr:uid="{00000000-0005-0000-0000-00004D0E0000}"/>
    <cellStyle name="Normal 12 4 3 3 2" xfId="14824" xr:uid="{641764B5-E95D-4B32-98C0-018197E7AD6C}"/>
    <cellStyle name="Normal 12 4 3 4" xfId="10607" xr:uid="{3DD497D5-37F4-46F7-9D60-0AF7814B2484}"/>
    <cellStyle name="Normal 12 4 4" xfId="1604" xr:uid="{00000000-0005-0000-0000-00004E0E0000}"/>
    <cellStyle name="Normal 12 4 4 2" xfId="3834" xr:uid="{00000000-0005-0000-0000-00004F0E0000}"/>
    <cellStyle name="Normal 12 4 4 2 2" xfId="8056" xr:uid="{00000000-0005-0000-0000-0000500E0000}"/>
    <cellStyle name="Normal 12 4 4 2 2 2" xfId="17382" xr:uid="{8B6009B4-42D0-4A53-A577-09F928D0365C}"/>
    <cellStyle name="Normal 12 4 4 2 3" xfId="13165" xr:uid="{A22841CB-AC0B-48D8-9C1F-20643C04600D}"/>
    <cellStyle name="Normal 12 4 4 3" xfId="5911" xr:uid="{00000000-0005-0000-0000-0000510E0000}"/>
    <cellStyle name="Normal 12 4 4 3 2" xfId="15237" xr:uid="{237384F4-2BF7-4928-BCE1-276161E88F96}"/>
    <cellStyle name="Normal 12 4 4 4" xfId="11020" xr:uid="{E560C4E6-52B4-4B1B-AD85-4AFAB1D2624F}"/>
    <cellStyle name="Normal 12 4 5" xfId="2018" xr:uid="{00000000-0005-0000-0000-0000520E0000}"/>
    <cellStyle name="Normal 12 4 5 2" xfId="4247" xr:uid="{00000000-0005-0000-0000-0000530E0000}"/>
    <cellStyle name="Normal 12 4 5 2 2" xfId="8469" xr:uid="{00000000-0005-0000-0000-0000540E0000}"/>
    <cellStyle name="Normal 12 4 5 2 2 2" xfId="17795" xr:uid="{DF1E416C-7960-4217-9CB1-2FA0D08F7EB9}"/>
    <cellStyle name="Normal 12 4 5 2 3" xfId="13578" xr:uid="{B7ABC668-5BCE-47D3-BBB5-7F34BC2DEA9D}"/>
    <cellStyle name="Normal 12 4 5 3" xfId="6324" xr:uid="{00000000-0005-0000-0000-0000550E0000}"/>
    <cellStyle name="Normal 12 4 5 3 2" xfId="15650" xr:uid="{F2DAC4E8-BEE7-48B1-BCCC-42AB00408C6F}"/>
    <cellStyle name="Normal 12 4 5 4" xfId="11433" xr:uid="{EAA45A32-4C54-4A9B-A52A-95AEF8C1AC08}"/>
    <cellStyle name="Normal 12 4 6" xfId="2454" xr:uid="{00000000-0005-0000-0000-0000560E0000}"/>
    <cellStyle name="Normal 12 4 6 2" xfId="6737" xr:uid="{00000000-0005-0000-0000-0000570E0000}"/>
    <cellStyle name="Normal 12 4 6 2 2" xfId="16063" xr:uid="{D5E5DC75-1660-4559-995F-E03DAAABF466}"/>
    <cellStyle name="Normal 12 4 6 3" xfId="11846" xr:uid="{2F6ED9A9-DA9B-4C43-B113-0702A9E92617}"/>
    <cellStyle name="Normal 12 4 7" xfId="4671" xr:uid="{00000000-0005-0000-0000-0000580E0000}"/>
    <cellStyle name="Normal 12 4 7 2" xfId="13997" xr:uid="{56AAAB2B-5837-488C-8C11-4508FC796D46}"/>
    <cellStyle name="Normal 12 4 8" xfId="8977" xr:uid="{5BFFE5F3-99F6-4DA1-A3EF-BF749B3B7ACB}"/>
    <cellStyle name="Normal 12 4 8 2" xfId="18301" xr:uid="{8B68699A-228A-49EF-B9C3-C1EE1B221A86}"/>
    <cellStyle name="Normal 12 4 9" xfId="9780" xr:uid="{EA2CAA20-3F16-4612-A85E-74120E1F6994}"/>
    <cellStyle name="Normal 12 5" xfId="267" xr:uid="{00000000-0005-0000-0000-0000590E0000}"/>
    <cellStyle name="Normal 12 5 2" xfId="9579" xr:uid="{43940F87-8803-4E34-B3E0-736FAF89CA32}"/>
    <cellStyle name="Normal 12 5 2 2" xfId="18894" xr:uid="{CB08D7EE-689C-40DE-85E1-5554F929B5AA}"/>
    <cellStyle name="Normal 12 5 3" xfId="9586" xr:uid="{72B01073-C2DA-4DF8-9E0D-6932F6AF67FF}"/>
    <cellStyle name="Normal 12 5 4" xfId="9156" xr:uid="{4BCB05AE-5738-4A10-9D4D-B3A4CD16FD2C}"/>
    <cellStyle name="Normal 12 5 4 2" xfId="18478" xr:uid="{57F90671-B4DA-4512-9234-B7563AC390FC}"/>
    <cellStyle name="Normal 12 6" xfId="760" xr:uid="{00000000-0005-0000-0000-00005A0E0000}"/>
    <cellStyle name="Normal 12 6 2" xfId="3001" xr:uid="{00000000-0005-0000-0000-00005B0E0000}"/>
    <cellStyle name="Normal 12 6 2 2" xfId="7223" xr:uid="{00000000-0005-0000-0000-00005C0E0000}"/>
    <cellStyle name="Normal 12 6 2 2 2" xfId="16549" xr:uid="{297691D3-CDB3-481D-98B5-249ADA3EAB31}"/>
    <cellStyle name="Normal 12 6 2 3" xfId="12332" xr:uid="{B2B4EF4E-9CAA-4B8D-8863-EC8729565500}"/>
    <cellStyle name="Normal 12 6 3" xfId="5078" xr:uid="{00000000-0005-0000-0000-00005D0E0000}"/>
    <cellStyle name="Normal 12 6 3 2" xfId="14404" xr:uid="{F125DAA7-19A8-4EC9-AB7E-A9DFBF9A2C3E}"/>
    <cellStyle name="Normal 12 6 4" xfId="9194" xr:uid="{92D32932-3865-4F6F-A551-9A99EC116A43}"/>
    <cellStyle name="Normal 12 6 4 2" xfId="18510" xr:uid="{D9925DEB-1BFB-45CB-A15E-26DEFB2FF973}"/>
    <cellStyle name="Normal 12 6 5" xfId="10187" xr:uid="{0A18C96F-90CE-4C15-B506-D84317DBA462}"/>
    <cellStyle name="Normal 12 7" xfId="1183" xr:uid="{00000000-0005-0000-0000-00005E0E0000}"/>
    <cellStyle name="Normal 12 7 2" xfId="3414" xr:uid="{00000000-0005-0000-0000-00005F0E0000}"/>
    <cellStyle name="Normal 12 7 2 2" xfId="7636" xr:uid="{00000000-0005-0000-0000-0000600E0000}"/>
    <cellStyle name="Normal 12 7 2 2 2" xfId="16962" xr:uid="{92750F0B-1726-4AC2-8C7C-5A2A5C353445}"/>
    <cellStyle name="Normal 12 7 2 3" xfId="12745" xr:uid="{3A271A77-8D2E-4C69-85B5-B6B13179829B}"/>
    <cellStyle name="Normal 12 7 3" xfId="5491" xr:uid="{00000000-0005-0000-0000-0000610E0000}"/>
    <cellStyle name="Normal 12 7 3 2" xfId="14817" xr:uid="{C2518073-CB6D-4658-B1E7-3614A3112DB2}"/>
    <cellStyle name="Normal 12 7 4" xfId="10600" xr:uid="{1A46BCAB-7BFD-4A1C-BF76-F911940D2BE2}"/>
    <cellStyle name="Normal 12 8" xfId="1597" xr:uid="{00000000-0005-0000-0000-0000620E0000}"/>
    <cellStyle name="Normal 12 8 2" xfId="3827" xr:uid="{00000000-0005-0000-0000-0000630E0000}"/>
    <cellStyle name="Normal 12 8 2 2" xfId="8049" xr:uid="{00000000-0005-0000-0000-0000640E0000}"/>
    <cellStyle name="Normal 12 8 2 2 2" xfId="17375" xr:uid="{78F46904-75A8-46D1-BAAF-EB9609FC2010}"/>
    <cellStyle name="Normal 12 8 2 3" xfId="13158" xr:uid="{E233D017-257E-4747-AAF3-02994529778C}"/>
    <cellStyle name="Normal 12 8 3" xfId="5904" xr:uid="{00000000-0005-0000-0000-0000650E0000}"/>
    <cellStyle name="Normal 12 8 3 2" xfId="15230" xr:uid="{E4F79694-5ABB-4542-B971-9916DEEF2BCB}"/>
    <cellStyle name="Normal 12 8 4" xfId="11013" xr:uid="{F16479E1-41DE-4A4D-9D8A-C24F2AE02AF1}"/>
    <cellStyle name="Normal 12 9" xfId="2011" xr:uid="{00000000-0005-0000-0000-0000660E0000}"/>
    <cellStyle name="Normal 12 9 2" xfId="4240" xr:uid="{00000000-0005-0000-0000-0000670E0000}"/>
    <cellStyle name="Normal 12 9 2 2" xfId="8462" xr:uid="{00000000-0005-0000-0000-0000680E0000}"/>
    <cellStyle name="Normal 12 9 2 2 2" xfId="17788" xr:uid="{1620B8E5-E1B0-4950-B56F-E94F74523372}"/>
    <cellStyle name="Normal 12 9 2 3" xfId="13571" xr:uid="{18ACBEBA-07BD-4587-ABCD-CF87567F5BB8}"/>
    <cellStyle name="Normal 12 9 3" xfId="6317" xr:uid="{00000000-0005-0000-0000-0000690E0000}"/>
    <cellStyle name="Normal 12 9 3 2" xfId="15643" xr:uid="{519F62DD-05E6-4D0F-A52B-39D295BC3697}"/>
    <cellStyle name="Normal 12 9 4" xfId="11426" xr:uid="{59388FBA-B056-4E62-A6BA-4A1F8EE84A73}"/>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2 2 2" xfId="16557" xr:uid="{B4704744-DAE6-4D9D-B80E-4B26B7B87107}"/>
    <cellStyle name="Normal 14 2 2 3" xfId="12340" xr:uid="{964F8CBF-288E-4C6B-8987-FAC3693D9A87}"/>
    <cellStyle name="Normal 14 2 3" xfId="5086" xr:uid="{00000000-0005-0000-0000-0000700E0000}"/>
    <cellStyle name="Normal 14 2 3 2" xfId="14412" xr:uid="{B47A9207-A4B2-4A67-89C0-83975CC39249}"/>
    <cellStyle name="Normal 14 2 4" xfId="9371" xr:uid="{E1AFB5B4-F468-480A-B09F-3374B2F03BDA}"/>
    <cellStyle name="Normal 14 2 4 2" xfId="18686" xr:uid="{155EF6C0-D543-4A6A-9B86-312ACB69714A}"/>
    <cellStyle name="Normal 14 2 5" xfId="10195" xr:uid="{DD3026FF-658D-46E0-9806-37AB0CC23B35}"/>
    <cellStyle name="Normal 14 3" xfId="1191" xr:uid="{00000000-0005-0000-0000-0000710E0000}"/>
    <cellStyle name="Normal 14 3 2" xfId="3422" xr:uid="{00000000-0005-0000-0000-0000720E0000}"/>
    <cellStyle name="Normal 14 3 2 2" xfId="7644" xr:uid="{00000000-0005-0000-0000-0000730E0000}"/>
    <cellStyle name="Normal 14 3 2 2 2" xfId="16970" xr:uid="{B757651A-AF63-4DA7-BBF3-24491DC96AF9}"/>
    <cellStyle name="Normal 14 3 2 3" xfId="12753" xr:uid="{CF8BF223-A584-47F8-A31E-A3036731EDC2}"/>
    <cellStyle name="Normal 14 3 3" xfId="5499" xr:uid="{00000000-0005-0000-0000-0000740E0000}"/>
    <cellStyle name="Normal 14 3 3 2" xfId="14825" xr:uid="{68FA6644-C84D-4590-B462-412E864966FD}"/>
    <cellStyle name="Normal 14 3 4" xfId="10608" xr:uid="{E950EB94-7BFE-4B32-872D-AD3DC7499863}"/>
    <cellStyle name="Normal 14 4" xfId="1605" xr:uid="{00000000-0005-0000-0000-0000750E0000}"/>
    <cellStyle name="Normal 14 4 2" xfId="3835" xr:uid="{00000000-0005-0000-0000-0000760E0000}"/>
    <cellStyle name="Normal 14 4 2 2" xfId="8057" xr:uid="{00000000-0005-0000-0000-0000770E0000}"/>
    <cellStyle name="Normal 14 4 2 2 2" xfId="17383" xr:uid="{2841104A-0411-4A7E-8E8C-5C38A1A35802}"/>
    <cellStyle name="Normal 14 4 2 3" xfId="13166" xr:uid="{4311D728-369E-4746-9D51-4735EB0F4B85}"/>
    <cellStyle name="Normal 14 4 3" xfId="5912" xr:uid="{00000000-0005-0000-0000-0000780E0000}"/>
    <cellStyle name="Normal 14 4 3 2" xfId="15238" xr:uid="{A45268F9-AC3B-46A3-A37C-3AD5829BE00E}"/>
    <cellStyle name="Normal 14 4 4" xfId="11021" xr:uid="{C796BFE0-9C43-4E1D-980F-EC78E2E04BD1}"/>
    <cellStyle name="Normal 14 5" xfId="2019" xr:uid="{00000000-0005-0000-0000-0000790E0000}"/>
    <cellStyle name="Normal 14 5 2" xfId="4248" xr:uid="{00000000-0005-0000-0000-00007A0E0000}"/>
    <cellStyle name="Normal 14 5 2 2" xfId="8470" xr:uid="{00000000-0005-0000-0000-00007B0E0000}"/>
    <cellStyle name="Normal 14 5 2 2 2" xfId="17796" xr:uid="{AE15ABE3-8E45-4F52-AE52-859EFE175B99}"/>
    <cellStyle name="Normal 14 5 2 3" xfId="13579" xr:uid="{CDEC448F-2140-4490-8D60-334DF3DCCA61}"/>
    <cellStyle name="Normal 14 5 3" xfId="6325" xr:uid="{00000000-0005-0000-0000-00007C0E0000}"/>
    <cellStyle name="Normal 14 5 3 2" xfId="15651" xr:uid="{F2FA0DA1-97B6-4A47-A4CC-2A7CCBB2FE63}"/>
    <cellStyle name="Normal 14 5 4" xfId="11434" xr:uid="{2563E9E4-C915-42BD-844D-964FEB3A4EEA}"/>
    <cellStyle name="Normal 14 6" xfId="2455" xr:uid="{00000000-0005-0000-0000-00007D0E0000}"/>
    <cellStyle name="Normal 14 6 2" xfId="6738" xr:uid="{00000000-0005-0000-0000-00007E0E0000}"/>
    <cellStyle name="Normal 14 6 2 2" xfId="16064" xr:uid="{F10FA7C5-14EA-499A-A775-53B32A547D1A}"/>
    <cellStyle name="Normal 14 6 3" xfId="11847" xr:uid="{B0693B11-7C76-4D13-8D5F-627896ED60B1}"/>
    <cellStyle name="Normal 14 7" xfId="4672" xr:uid="{00000000-0005-0000-0000-00007F0E0000}"/>
    <cellStyle name="Normal 14 7 2" xfId="13998" xr:uid="{EE0A6204-ADB0-4988-9BB9-D024CD98CD8F}"/>
    <cellStyle name="Normal 14 8" xfId="8946" xr:uid="{DD997A1C-6669-41AA-8AC1-78121AFC796C}"/>
    <cellStyle name="Normal 14 8 2" xfId="18270" xr:uid="{6342E07E-2EB5-449B-AA3F-ED9AFA02DEE0}"/>
    <cellStyle name="Normal 14 9" xfId="9781" xr:uid="{E8E8CA58-BE07-49E1-9EC4-4DC17B22B05C}"/>
    <cellStyle name="Normal 15" xfId="4496" xr:uid="{00000000-0005-0000-0000-0000800E0000}"/>
    <cellStyle name="Normal 15 2" xfId="9578" xr:uid="{99513E76-E7E2-49D8-ADC5-F882C61FFC79}"/>
    <cellStyle name="Normal 15 2 2" xfId="18893" xr:uid="{F23524DA-071B-4D45-B211-3C3AF97D47BB}"/>
    <cellStyle name="Normal 15 3" xfId="9155" xr:uid="{47700DD8-A88A-4CB4-BFAD-BA75A2D4FC8E}"/>
    <cellStyle name="Normal 15 3 2" xfId="18477" xr:uid="{F620FB58-8738-485C-B272-0F991031090A}"/>
    <cellStyle name="Normal 15 4" xfId="13824" xr:uid="{0FB36C7B-A243-420F-B93D-C79AC09F6B59}"/>
    <cellStyle name="Normal 16" xfId="4500" xr:uid="{00000000-0005-0000-0000-0000810E0000}"/>
    <cellStyle name="Normal 16 2" xfId="8715" xr:uid="{00000000-0005-0000-0000-0000820E0000}"/>
    <cellStyle name="Normal 16 2 2" xfId="18041" xr:uid="{B224E9A3-E0B4-41EA-8360-C583324377E4}"/>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3 2 2 2 2 2 2" xfId="18060" xr:uid="{C6896B43-BB47-4F7E-9B00-E5F324733ABC}"/>
    <cellStyle name="Normal 16 3 2 2 2 2 3" xfId="18057" xr:uid="{D4CB75B0-F3B2-41A4-8FFB-A80B1F3A95F0}"/>
    <cellStyle name="Normal 16 3 2 2 2 3" xfId="18054" xr:uid="{AE1618DD-BC31-4C8D-97D4-6ABCB70FFF41}"/>
    <cellStyle name="Normal 16 3 2 2 3" xfId="18050" xr:uid="{10D467AD-EDD8-4731-91A0-40D41A1E84C4}"/>
    <cellStyle name="Normal 16 3 2 3" xfId="18047" xr:uid="{5B467D76-67C6-4A6B-A034-BBF2518338E5}"/>
    <cellStyle name="Normal 16 3 3" xfId="18044" xr:uid="{D50AC1CF-1E56-4544-9CA4-7F967722AF80}"/>
    <cellStyle name="Normal 16 4" xfId="9612" xr:uid="{8729F6E8-3534-4DAE-B0B2-B2AF3CDCD313}"/>
    <cellStyle name="Normal 16 5" xfId="13827" xr:uid="{19E7C40F-090C-4AEB-930B-83476D559B14}"/>
    <cellStyle name="Normal 17" xfId="8728" xr:uid="{3FF0972C-833B-4475-99D8-1A6907499E71}"/>
    <cellStyle name="Normal 17 2" xfId="9157" xr:uid="{6C872296-5E17-4821-9139-E52AD113B06C}"/>
    <cellStyle name="Normal 17 3" xfId="9154" xr:uid="{DC3FF210-EC1F-47CE-8CCE-F8F5460671B1}"/>
    <cellStyle name="Normal 17 4" xfId="18053" xr:uid="{CB65756A-FB87-460B-98C5-0B88225D8F16}"/>
    <cellStyle name="Normal 18" xfId="9153" xr:uid="{EF04732C-9519-4C21-BD73-A108E18EA17F}"/>
    <cellStyle name="Normal 19" xfId="8739" xr:uid="{D907EBA7-1F94-4726-9ABB-7E7835FFF57E}"/>
    <cellStyle name="Normal 19 2" xfId="18063" xr:uid="{8DFFBABC-2741-4F83-9BEB-89A940846903}"/>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10 2" xfId="18072" xr:uid="{B663A00C-D8EA-4E57-BC73-745534161168}"/>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2 2 2" xfId="17797" xr:uid="{3D4D553B-4C32-4D39-8F08-502B0DFE5DF4}"/>
    <cellStyle name="Normal 2 4 2 10 2 3" xfId="13580" xr:uid="{57F48571-EB87-40D5-A4ED-18FEA09661A5}"/>
    <cellStyle name="Normal 2 4 2 10 3" xfId="6326" xr:uid="{00000000-0005-0000-0000-0000910E0000}"/>
    <cellStyle name="Normal 2 4 2 10 3 2" xfId="15652" xr:uid="{B2AE9CB1-C450-4506-8FE6-410A47F7B5CF}"/>
    <cellStyle name="Normal 2 4 2 10 4" xfId="11435" xr:uid="{8BBE5900-591A-49BD-B6BA-B07678339766}"/>
    <cellStyle name="Normal 2 4 2 11" xfId="2456" xr:uid="{00000000-0005-0000-0000-0000920E0000}"/>
    <cellStyle name="Normal 2 4 2 11 2" xfId="6739" xr:uid="{00000000-0005-0000-0000-0000930E0000}"/>
    <cellStyle name="Normal 2 4 2 11 2 2" xfId="16065" xr:uid="{7EBD3D9D-BDDC-4D41-9825-0867967CA7AB}"/>
    <cellStyle name="Normal 2 4 2 11 3" xfId="11848" xr:uid="{FC2D682A-FEA7-4DFD-A968-14F8D663A443}"/>
    <cellStyle name="Normal 2 4 2 12" xfId="4673" xr:uid="{00000000-0005-0000-0000-0000940E0000}"/>
    <cellStyle name="Normal 2 4 2 12 2" xfId="13999" xr:uid="{182988B3-0BC2-406E-AF0D-4BD970A864ED}"/>
    <cellStyle name="Normal 2 4 2 13" xfId="8757" xr:uid="{563A76DD-F7DD-49F0-A61E-0419F4C31301}"/>
    <cellStyle name="Normal 2 4 2 13 2" xfId="18081" xr:uid="{E407FBC4-7766-4AB9-8ADD-58E113B316AA}"/>
    <cellStyle name="Normal 2 4 2 14" xfId="9782" xr:uid="{CABA1135-9FD1-4B53-99FF-E55C7E57AE8F}"/>
    <cellStyle name="Normal 2 4 2 2" xfId="280" xr:uid="{00000000-0005-0000-0000-0000950E0000}"/>
    <cellStyle name="Normal 2 4 2 3" xfId="281" xr:uid="{00000000-0005-0000-0000-0000960E0000}"/>
    <cellStyle name="Normal 2 4 2 3 10" xfId="4674" xr:uid="{00000000-0005-0000-0000-0000970E0000}"/>
    <cellStyle name="Normal 2 4 2 3 10 2" xfId="14000" xr:uid="{453DD7CB-0856-4ECC-8CCB-A60FC7880F74}"/>
    <cellStyle name="Normal 2 4 2 3 11" xfId="8788" xr:uid="{EAD3D227-C8EF-4F54-8D24-EE1EA1F017BB}"/>
    <cellStyle name="Normal 2 4 2 3 11 2" xfId="18112" xr:uid="{E9C7A5E1-53E8-49CA-A670-4A0D6953E4D2}"/>
    <cellStyle name="Normal 2 4 2 3 12" xfId="9783" xr:uid="{D3BB51BF-0B93-4C4C-8CA2-F4A73CC02E25}"/>
    <cellStyle name="Normal 2 4 2 3 2" xfId="282" xr:uid="{00000000-0005-0000-0000-0000980E0000}"/>
    <cellStyle name="Normal 2 4 2 3 2 10" xfId="8813" xr:uid="{C03AE35D-2438-4E07-AE9C-6D04EC6DA2B7}"/>
    <cellStyle name="Normal 2 4 2 3 2 10 2" xfId="18137" xr:uid="{B9C525FD-BBAB-4762-9EE3-B556E8E02E77}"/>
    <cellStyle name="Normal 2 4 2 3 2 11" xfId="9784" xr:uid="{1D62F5D4-CB2D-4B1C-8AC2-67D71C157FA6}"/>
    <cellStyle name="Normal 2 4 2 3 2 2" xfId="283" xr:uid="{00000000-0005-0000-0000-0000990E0000}"/>
    <cellStyle name="Normal 2 4 2 3 2 2 10" xfId="9785" xr:uid="{1F8A26CD-B074-4477-AF9A-9B6FC76ACFAA}"/>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2 2 2" xfId="16562" xr:uid="{85A6E36B-39DE-48E7-8B4D-63B9C3AA8A28}"/>
    <cellStyle name="Normal 2 4 2 3 2 2 2 2 2 3" xfId="12345" xr:uid="{48A07410-CC24-4687-A189-2868C26293EA}"/>
    <cellStyle name="Normal 2 4 2 3 2 2 2 2 3" xfId="5091" xr:uid="{00000000-0005-0000-0000-00009E0E0000}"/>
    <cellStyle name="Normal 2 4 2 3 2 2 2 2 3 2" xfId="14417" xr:uid="{BCC40233-EFCE-4281-B069-46334C2F31C9}"/>
    <cellStyle name="Normal 2 4 2 3 2 2 2 2 4" xfId="9548" xr:uid="{29E7289E-B3F4-4F63-9B9C-B531B0E50CEB}"/>
    <cellStyle name="Normal 2 4 2 3 2 2 2 2 4 2" xfId="18863" xr:uid="{C7FDF5B3-C94A-437B-90A5-6B76AF99B921}"/>
    <cellStyle name="Normal 2 4 2 3 2 2 2 2 5" xfId="10200" xr:uid="{91F5F1D1-3136-45A0-B6BD-58D411E7A255}"/>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2 2 2" xfId="16975" xr:uid="{7D492822-9B12-41F4-BDC3-F075676E2B7D}"/>
    <cellStyle name="Normal 2 4 2 3 2 2 2 3 2 3" xfId="12758" xr:uid="{90765336-1C67-4806-BBC9-8EE48BAA8F61}"/>
    <cellStyle name="Normal 2 4 2 3 2 2 2 3 3" xfId="5504" xr:uid="{00000000-0005-0000-0000-0000A20E0000}"/>
    <cellStyle name="Normal 2 4 2 3 2 2 2 3 3 2" xfId="14830" xr:uid="{561474FF-39B4-4649-AF63-1E77DA38A736}"/>
    <cellStyle name="Normal 2 4 2 3 2 2 2 3 4" xfId="10613" xr:uid="{7B557339-EF57-4BFB-888D-6CC668F697D2}"/>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2 2 2" xfId="17388" xr:uid="{20B291BA-D875-4A10-99DF-DBFA9A3823B9}"/>
    <cellStyle name="Normal 2 4 2 3 2 2 2 4 2 3" xfId="13171" xr:uid="{C7159366-9FE2-47B6-8C3D-61A74A812C69}"/>
    <cellStyle name="Normal 2 4 2 3 2 2 2 4 3" xfId="5917" xr:uid="{00000000-0005-0000-0000-0000A60E0000}"/>
    <cellStyle name="Normal 2 4 2 3 2 2 2 4 3 2" xfId="15243" xr:uid="{9EBB26EC-ABC6-4DF4-AA9E-C8FE4F3C5055}"/>
    <cellStyle name="Normal 2 4 2 3 2 2 2 4 4" xfId="11026" xr:uid="{8E8BA652-97E6-4159-80E9-F911B70F6111}"/>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2 2 2" xfId="17801" xr:uid="{403931FF-A8E0-47AF-B949-30800F5FA820}"/>
    <cellStyle name="Normal 2 4 2 3 2 2 2 5 2 3" xfId="13584" xr:uid="{4BDD91D4-8F7B-4323-9F01-601173CFF511}"/>
    <cellStyle name="Normal 2 4 2 3 2 2 2 5 3" xfId="6330" xr:uid="{00000000-0005-0000-0000-0000AA0E0000}"/>
    <cellStyle name="Normal 2 4 2 3 2 2 2 5 3 2" xfId="15656" xr:uid="{044533F6-6B3D-4C62-90C8-895883D8D3D6}"/>
    <cellStyle name="Normal 2 4 2 3 2 2 2 5 4" xfId="11439" xr:uid="{E75303FE-D191-4713-86A9-52474166326C}"/>
    <cellStyle name="Normal 2 4 2 3 2 2 2 6" xfId="2460" xr:uid="{00000000-0005-0000-0000-0000AB0E0000}"/>
    <cellStyle name="Normal 2 4 2 3 2 2 2 6 2" xfId="6743" xr:uid="{00000000-0005-0000-0000-0000AC0E0000}"/>
    <cellStyle name="Normal 2 4 2 3 2 2 2 6 2 2" xfId="16069" xr:uid="{46C8F3A4-2764-4B6C-BAD0-7AA3A6E9BFA5}"/>
    <cellStyle name="Normal 2 4 2 3 2 2 2 6 3" xfId="11852" xr:uid="{314AF2EA-90D9-4B14-8A23-3F5627EC1467}"/>
    <cellStyle name="Normal 2 4 2 3 2 2 2 7" xfId="4677" xr:uid="{00000000-0005-0000-0000-0000AD0E0000}"/>
    <cellStyle name="Normal 2 4 2 3 2 2 2 7 2" xfId="14003" xr:uid="{5FA8BEFC-3E1B-4422-A8AE-2D0F026ACA64}"/>
    <cellStyle name="Normal 2 4 2 3 2 2 2 8" xfId="9123" xr:uid="{9F0183A9-880D-46D9-BB7D-5696E4723F5F}"/>
    <cellStyle name="Normal 2 4 2 3 2 2 2 8 2" xfId="18447" xr:uid="{BDE63644-B707-4E15-91A2-5FF207080BCF}"/>
    <cellStyle name="Normal 2 4 2 3 2 2 2 9" xfId="9786" xr:uid="{81617F61-7BBD-4F7C-974D-AFCED36AADA0}"/>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2 2 2" xfId="16561" xr:uid="{FCBCB9C0-4B19-4D8E-AD63-4A0C29C015DB}"/>
    <cellStyle name="Normal 2 4 2 3 2 2 3 2 3" xfId="12344" xr:uid="{AD73302F-0CB5-4789-9902-BA797353B36E}"/>
    <cellStyle name="Normal 2 4 2 3 2 2 3 3" xfId="5090" xr:uid="{00000000-0005-0000-0000-0000B10E0000}"/>
    <cellStyle name="Normal 2 4 2 3 2 2 3 3 2" xfId="14416" xr:uid="{D2D88B5D-92AF-4D5E-B3DC-7E4A12395107}"/>
    <cellStyle name="Normal 2 4 2 3 2 2 3 4" xfId="9341" xr:uid="{4F113FF5-050D-47D1-A7D5-F829C93D993D}"/>
    <cellStyle name="Normal 2 4 2 3 2 2 3 4 2" xfId="18656" xr:uid="{B718A616-D39E-44F5-B025-D05079DFD63A}"/>
    <cellStyle name="Normal 2 4 2 3 2 2 3 5" xfId="10199" xr:uid="{D5844E33-0CDA-4398-9319-1F80A777CBAA}"/>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2 2 2" xfId="16974" xr:uid="{62FFF891-5C71-4C2F-AA52-3149669015D2}"/>
    <cellStyle name="Normal 2 4 2 3 2 2 4 2 3" xfId="12757" xr:uid="{64C8A5EE-A1C4-42D1-945E-F18758E46805}"/>
    <cellStyle name="Normal 2 4 2 3 2 2 4 3" xfId="5503" xr:uid="{00000000-0005-0000-0000-0000B50E0000}"/>
    <cellStyle name="Normal 2 4 2 3 2 2 4 3 2" xfId="14829" xr:uid="{B46883D9-E4CF-4667-A57F-A3A545C93826}"/>
    <cellStyle name="Normal 2 4 2 3 2 2 4 4" xfId="10612" xr:uid="{2840D055-7B02-4DE2-8B04-C42AD34F7423}"/>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2 2 2" xfId="17387" xr:uid="{FB54239B-B7B2-48EF-B4E4-2E5A2024C2CB}"/>
    <cellStyle name="Normal 2 4 2 3 2 2 5 2 3" xfId="13170" xr:uid="{44A970E9-DD37-4496-8220-897A141B3AB3}"/>
    <cellStyle name="Normal 2 4 2 3 2 2 5 3" xfId="5916" xr:uid="{00000000-0005-0000-0000-0000B90E0000}"/>
    <cellStyle name="Normal 2 4 2 3 2 2 5 3 2" xfId="15242" xr:uid="{CD00DBFF-BE26-459E-9433-35ABD41ADAF4}"/>
    <cellStyle name="Normal 2 4 2 3 2 2 5 4" xfId="11025" xr:uid="{A2DC4B8D-EA6D-41B8-A674-1CC5C267212F}"/>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2 2 2" xfId="17800" xr:uid="{96DCF7A7-CB4F-4700-8BA1-18312EB79143}"/>
    <cellStyle name="Normal 2 4 2 3 2 2 6 2 3" xfId="13583" xr:uid="{A37D0CD1-AA04-4AD8-BCA2-4D5A4875CE14}"/>
    <cellStyle name="Normal 2 4 2 3 2 2 6 3" xfId="6329" xr:uid="{00000000-0005-0000-0000-0000BD0E0000}"/>
    <cellStyle name="Normal 2 4 2 3 2 2 6 3 2" xfId="15655" xr:uid="{2DF5B329-A5B2-4B7E-AB72-F99F88BDC751}"/>
    <cellStyle name="Normal 2 4 2 3 2 2 6 4" xfId="11438" xr:uid="{B438A612-C2A7-4ADF-8E43-C9F62233064F}"/>
    <cellStyle name="Normal 2 4 2 3 2 2 7" xfId="2459" xr:uid="{00000000-0005-0000-0000-0000BE0E0000}"/>
    <cellStyle name="Normal 2 4 2 3 2 2 7 2" xfId="6742" xr:uid="{00000000-0005-0000-0000-0000BF0E0000}"/>
    <cellStyle name="Normal 2 4 2 3 2 2 7 2 2" xfId="16068" xr:uid="{A81146F8-BBF4-4984-9902-67151DF6F857}"/>
    <cellStyle name="Normal 2 4 2 3 2 2 7 3" xfId="11851" xr:uid="{213136E3-DE23-4BF2-9039-0A9EE507830C}"/>
    <cellStyle name="Normal 2 4 2 3 2 2 8" xfId="4676" xr:uid="{00000000-0005-0000-0000-0000C00E0000}"/>
    <cellStyle name="Normal 2 4 2 3 2 2 8 2" xfId="14002" xr:uid="{EF8CF1F6-9D1F-4E56-A7FF-E633786D642C}"/>
    <cellStyle name="Normal 2 4 2 3 2 2 9" xfId="8916" xr:uid="{1EF18CC7-44BB-43EB-8DB6-D193CEF128C1}"/>
    <cellStyle name="Normal 2 4 2 3 2 2 9 2" xfId="18240" xr:uid="{69F84647-8CAD-4308-9DB1-41636A4C2B4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2 2 2" xfId="16563" xr:uid="{FA1F9E4B-C07D-4775-ACAD-2903AF3BA46E}"/>
    <cellStyle name="Normal 2 4 2 3 2 3 2 2 3" xfId="12346" xr:uid="{071709A2-9679-4C3B-9F86-B7C551B2A7F0}"/>
    <cellStyle name="Normal 2 4 2 3 2 3 2 3" xfId="5092" xr:uid="{00000000-0005-0000-0000-0000C50E0000}"/>
    <cellStyle name="Normal 2 4 2 3 2 3 2 3 2" xfId="14418" xr:uid="{F499834A-F06B-4702-8123-66C9432B3BEC}"/>
    <cellStyle name="Normal 2 4 2 3 2 3 2 4" xfId="9445" xr:uid="{67F9E33C-8554-469D-8D7A-1147F632F3B0}"/>
    <cellStyle name="Normal 2 4 2 3 2 3 2 4 2" xfId="18760" xr:uid="{61C32B53-16EF-448A-A3CD-9E715F722FFF}"/>
    <cellStyle name="Normal 2 4 2 3 2 3 2 5" xfId="10201" xr:uid="{E858F930-566B-4F6E-9D0C-B1CEA7B01C45}"/>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2 2 2" xfId="16976" xr:uid="{662AFCB7-F09A-40C8-8443-967AD0647B76}"/>
    <cellStyle name="Normal 2 4 2 3 2 3 3 2 3" xfId="12759" xr:uid="{EF2A2E0C-7CF0-4F41-92A3-5CA8B8400824}"/>
    <cellStyle name="Normal 2 4 2 3 2 3 3 3" xfId="5505" xr:uid="{00000000-0005-0000-0000-0000C90E0000}"/>
    <cellStyle name="Normal 2 4 2 3 2 3 3 3 2" xfId="14831" xr:uid="{565A1CF6-8483-47FB-888D-8424CC9630D7}"/>
    <cellStyle name="Normal 2 4 2 3 2 3 3 4" xfId="10614" xr:uid="{0AD4D9B4-A5B6-4E83-A6DC-C3F5E2F7CAD3}"/>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2 2 2" xfId="17389" xr:uid="{141A1ED6-E830-4951-ADE8-2B13630F23EB}"/>
    <cellStyle name="Normal 2 4 2 3 2 3 4 2 3" xfId="13172" xr:uid="{E7C730CA-C8DC-4934-86BF-FAC35B8FE077}"/>
    <cellStyle name="Normal 2 4 2 3 2 3 4 3" xfId="5918" xr:uid="{00000000-0005-0000-0000-0000CD0E0000}"/>
    <cellStyle name="Normal 2 4 2 3 2 3 4 3 2" xfId="15244" xr:uid="{2805507D-8024-4443-8F5A-7E1E7E8BCF53}"/>
    <cellStyle name="Normal 2 4 2 3 2 3 4 4" xfId="11027" xr:uid="{B6C5CB01-E7E8-4C64-92CA-1EE84E45CE25}"/>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2 2 2" xfId="17802" xr:uid="{CE0B7DBB-6231-433F-B95D-A41A669476F1}"/>
    <cellStyle name="Normal 2 4 2 3 2 3 5 2 3" xfId="13585" xr:uid="{D6B62105-15A9-4EF5-AE91-3A09E88E4786}"/>
    <cellStyle name="Normal 2 4 2 3 2 3 5 3" xfId="6331" xr:uid="{00000000-0005-0000-0000-0000D10E0000}"/>
    <cellStyle name="Normal 2 4 2 3 2 3 5 3 2" xfId="15657" xr:uid="{443F2BF0-C09F-49F8-9709-CD9A400525B4}"/>
    <cellStyle name="Normal 2 4 2 3 2 3 5 4" xfId="11440" xr:uid="{8A75A1A9-027E-4639-816C-521FF2DB469E}"/>
    <cellStyle name="Normal 2 4 2 3 2 3 6" xfId="2461" xr:uid="{00000000-0005-0000-0000-0000D20E0000}"/>
    <cellStyle name="Normal 2 4 2 3 2 3 6 2" xfId="6744" xr:uid="{00000000-0005-0000-0000-0000D30E0000}"/>
    <cellStyle name="Normal 2 4 2 3 2 3 6 2 2" xfId="16070" xr:uid="{F60CD500-AA91-4EB4-B552-6741A006D88D}"/>
    <cellStyle name="Normal 2 4 2 3 2 3 6 3" xfId="11853" xr:uid="{3DB5F531-18DC-424A-98FF-7C1FFA151B0E}"/>
    <cellStyle name="Normal 2 4 2 3 2 3 7" xfId="4678" xr:uid="{00000000-0005-0000-0000-0000D40E0000}"/>
    <cellStyle name="Normal 2 4 2 3 2 3 7 2" xfId="14004" xr:uid="{80731297-E531-434A-A881-E591E6EB009E}"/>
    <cellStyle name="Normal 2 4 2 3 2 3 8" xfId="9020" xr:uid="{5718F785-8E2C-4B45-91D1-4597173D90A6}"/>
    <cellStyle name="Normal 2 4 2 3 2 3 8 2" xfId="18344" xr:uid="{35F4A08C-CC76-4D15-BF2F-9D61AA923927}"/>
    <cellStyle name="Normal 2 4 2 3 2 3 9" xfId="9787" xr:uid="{FAB32C67-8AA8-4CBE-95D9-CDD36ABC6F5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2 2 2" xfId="16560" xr:uid="{D9265B40-5500-4F55-B69B-6F4ED131CB67}"/>
    <cellStyle name="Normal 2 4 2 3 2 4 2 3" xfId="12343" xr:uid="{C9941532-5781-4835-83A0-91509163FB6B}"/>
    <cellStyle name="Normal 2 4 2 3 2 4 3" xfId="5089" xr:uid="{00000000-0005-0000-0000-0000D80E0000}"/>
    <cellStyle name="Normal 2 4 2 3 2 4 3 2" xfId="14415" xr:uid="{986BEB3A-E0AE-4C65-B3FC-2F6B43555F19}"/>
    <cellStyle name="Normal 2 4 2 3 2 4 4" xfId="9238" xr:uid="{BC6E5A3D-C256-46E9-A109-D643C24AA206}"/>
    <cellStyle name="Normal 2 4 2 3 2 4 4 2" xfId="18553" xr:uid="{8187CC4E-1BB9-468C-BBF5-8158A54930E7}"/>
    <cellStyle name="Normal 2 4 2 3 2 4 5" xfId="10198" xr:uid="{33A3AD90-BE58-48E3-8FBF-25EAFF962443}"/>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2 2 2" xfId="16973" xr:uid="{78A12BF5-7F8B-44EB-9FF2-1BD41B1B2407}"/>
    <cellStyle name="Normal 2 4 2 3 2 5 2 3" xfId="12756" xr:uid="{1671252E-3A8D-45C6-8C39-FAB6C6EC7841}"/>
    <cellStyle name="Normal 2 4 2 3 2 5 3" xfId="5502" xr:uid="{00000000-0005-0000-0000-0000DC0E0000}"/>
    <cellStyle name="Normal 2 4 2 3 2 5 3 2" xfId="14828" xr:uid="{2B4B762E-7222-45E1-AFE3-D999B3470CBF}"/>
    <cellStyle name="Normal 2 4 2 3 2 5 4" xfId="10611" xr:uid="{A0C65966-EF15-4E9C-9D54-AC77CB9A083A}"/>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2 2 2" xfId="17386" xr:uid="{FA674221-FAA9-42B6-8045-E5C4901F92F1}"/>
    <cellStyle name="Normal 2 4 2 3 2 6 2 3" xfId="13169" xr:uid="{65B90AB6-AC93-4751-B30C-52B7A34EB4D8}"/>
    <cellStyle name="Normal 2 4 2 3 2 6 3" xfId="5915" xr:uid="{00000000-0005-0000-0000-0000E00E0000}"/>
    <cellStyle name="Normal 2 4 2 3 2 6 3 2" xfId="15241" xr:uid="{C220875B-C3EB-484C-9912-3FCC38C5F72A}"/>
    <cellStyle name="Normal 2 4 2 3 2 6 4" xfId="11024" xr:uid="{FBCA83C8-0680-4ACA-A8A9-F0E5E620AEE5}"/>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2 2 2" xfId="17799" xr:uid="{59E42FF1-F267-4272-A897-650208E86800}"/>
    <cellStyle name="Normal 2 4 2 3 2 7 2 3" xfId="13582" xr:uid="{3861B5D8-D05B-4E06-9312-B5FAC21C6BBD}"/>
    <cellStyle name="Normal 2 4 2 3 2 7 3" xfId="6328" xr:uid="{00000000-0005-0000-0000-0000E40E0000}"/>
    <cellStyle name="Normal 2 4 2 3 2 7 3 2" xfId="15654" xr:uid="{29596B6E-C4AA-49CE-BB75-3E94603BEDDC}"/>
    <cellStyle name="Normal 2 4 2 3 2 7 4" xfId="11437" xr:uid="{6FAC59C7-79D1-4B18-954C-69CF19260D64}"/>
    <cellStyle name="Normal 2 4 2 3 2 8" xfId="2458" xr:uid="{00000000-0005-0000-0000-0000E50E0000}"/>
    <cellStyle name="Normal 2 4 2 3 2 8 2" xfId="6741" xr:uid="{00000000-0005-0000-0000-0000E60E0000}"/>
    <cellStyle name="Normal 2 4 2 3 2 8 2 2" xfId="16067" xr:uid="{3A1E4DC8-7D42-4D9D-B354-65D441AD4D93}"/>
    <cellStyle name="Normal 2 4 2 3 2 8 3" xfId="11850" xr:uid="{1C341C91-BEB6-4406-8011-66E822BD433E}"/>
    <cellStyle name="Normal 2 4 2 3 2 9" xfId="4675" xr:uid="{00000000-0005-0000-0000-0000E70E0000}"/>
    <cellStyle name="Normal 2 4 2 3 2 9 2" xfId="14001" xr:uid="{3EAD73E0-4959-4D19-B97A-358F599E7942}"/>
    <cellStyle name="Normal 2 4 2 3 3" xfId="286" xr:uid="{00000000-0005-0000-0000-0000E80E0000}"/>
    <cellStyle name="Normal 2 4 2 3 3 10" xfId="9788" xr:uid="{88BC4533-3144-41F2-9652-681A88B39125}"/>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2 2 2" xfId="16565" xr:uid="{CF66ED00-0B8E-4322-B88D-2E507D85D449}"/>
    <cellStyle name="Normal 2 4 2 3 3 2 2 2 3" xfId="12348" xr:uid="{5B3D3CDE-DD6A-4B20-8D0E-C962690E8451}"/>
    <cellStyle name="Normal 2 4 2 3 3 2 2 3" xfId="5094" xr:uid="{00000000-0005-0000-0000-0000ED0E0000}"/>
    <cellStyle name="Normal 2 4 2 3 3 2 2 3 2" xfId="14420" xr:uid="{1D7792D3-1272-4361-A6A2-5E62D49EC7A9}"/>
    <cellStyle name="Normal 2 4 2 3 3 2 2 4" xfId="9523" xr:uid="{49BCB42B-3FEB-4D87-8E20-52FE775F87DD}"/>
    <cellStyle name="Normal 2 4 2 3 3 2 2 4 2" xfId="18838" xr:uid="{5C8138DC-AF53-480F-AD83-3DDA8917B2D5}"/>
    <cellStyle name="Normal 2 4 2 3 3 2 2 5" xfId="10203" xr:uid="{1475EA0F-1CDE-480D-86BE-C543F85CD57A}"/>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2 2 2" xfId="16978" xr:uid="{73D8D709-0621-41B5-94F7-D71C7128F619}"/>
    <cellStyle name="Normal 2 4 2 3 3 2 3 2 3" xfId="12761" xr:uid="{B524A604-8466-45C0-9D23-01499E34B11E}"/>
    <cellStyle name="Normal 2 4 2 3 3 2 3 3" xfId="5507" xr:uid="{00000000-0005-0000-0000-0000F10E0000}"/>
    <cellStyle name="Normal 2 4 2 3 3 2 3 3 2" xfId="14833" xr:uid="{95C01E68-E2EA-4F62-A36A-2607D3889967}"/>
    <cellStyle name="Normal 2 4 2 3 3 2 3 4" xfId="10616" xr:uid="{EFEC4470-63FD-496A-9C5E-ACC562066DF9}"/>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2 2 2" xfId="17391" xr:uid="{BE8BB0F8-703A-405D-AF63-2F088B00FDFC}"/>
    <cellStyle name="Normal 2 4 2 3 3 2 4 2 3" xfId="13174" xr:uid="{F722684B-FC13-4936-A6C1-1076A8EFB157}"/>
    <cellStyle name="Normal 2 4 2 3 3 2 4 3" xfId="5920" xr:uid="{00000000-0005-0000-0000-0000F50E0000}"/>
    <cellStyle name="Normal 2 4 2 3 3 2 4 3 2" xfId="15246" xr:uid="{1CD32E78-F278-4F41-91E8-0848BBEE9D6D}"/>
    <cellStyle name="Normal 2 4 2 3 3 2 4 4" xfId="11029" xr:uid="{A6099BB7-557B-4B25-9C6E-19215052BA8C}"/>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2 2 2" xfId="17804" xr:uid="{31E63D20-EA18-4D86-891B-EDB84EB45527}"/>
    <cellStyle name="Normal 2 4 2 3 3 2 5 2 3" xfId="13587" xr:uid="{2F1EAE8D-7248-4EFD-AB5F-E1813B14A18D}"/>
    <cellStyle name="Normal 2 4 2 3 3 2 5 3" xfId="6333" xr:uid="{00000000-0005-0000-0000-0000F90E0000}"/>
    <cellStyle name="Normal 2 4 2 3 3 2 5 3 2" xfId="15659" xr:uid="{A2D5BCED-91C8-4D34-9296-6CBED8C554C1}"/>
    <cellStyle name="Normal 2 4 2 3 3 2 5 4" xfId="11442" xr:uid="{27018C74-517A-4F4C-A855-5091AADE1FDC}"/>
    <cellStyle name="Normal 2 4 2 3 3 2 6" xfId="2463" xr:uid="{00000000-0005-0000-0000-0000FA0E0000}"/>
    <cellStyle name="Normal 2 4 2 3 3 2 6 2" xfId="6746" xr:uid="{00000000-0005-0000-0000-0000FB0E0000}"/>
    <cellStyle name="Normal 2 4 2 3 3 2 6 2 2" xfId="16072" xr:uid="{E4C0D8DE-D9F2-433B-84FC-B0475FDD3D0F}"/>
    <cellStyle name="Normal 2 4 2 3 3 2 6 3" xfId="11855" xr:uid="{B87906CA-592C-4844-9CF9-D751655E99FA}"/>
    <cellStyle name="Normal 2 4 2 3 3 2 7" xfId="4680" xr:uid="{00000000-0005-0000-0000-0000FC0E0000}"/>
    <cellStyle name="Normal 2 4 2 3 3 2 7 2" xfId="14006" xr:uid="{16464168-8575-44F8-A1FB-44F779622CC3}"/>
    <cellStyle name="Normal 2 4 2 3 3 2 8" xfId="9098" xr:uid="{15335B31-FFDD-479D-88EC-FAB83DC4E6EC}"/>
    <cellStyle name="Normal 2 4 2 3 3 2 8 2" xfId="18422" xr:uid="{F94F878F-FBA5-4DFA-96DF-F3075E01E889}"/>
    <cellStyle name="Normal 2 4 2 3 3 2 9" xfId="9789" xr:uid="{3A131987-E3BE-47DE-8609-E6758DD9FE5F}"/>
    <cellStyle name="Normal 2 4 2 3 3 3" xfId="777" xr:uid="{00000000-0005-0000-0000-0000FD0E0000}"/>
    <cellStyle name="Normal 2 4 2 3 3 3 2" xfId="3016" xr:uid="{00000000-0005-0000-0000-0000FE0E0000}"/>
    <cellStyle name="Normal 2 4 2 3 3 3 2 2" xfId="7238" xr:uid="{00000000-0005-0000-0000-0000FF0E0000}"/>
    <cellStyle name="Normal 2 4 2 3 3 3 2 2 2" xfId="16564" xr:uid="{8EBA1D4A-0BDA-457F-9838-FF815E299F4A}"/>
    <cellStyle name="Normal 2 4 2 3 3 3 2 3" xfId="12347" xr:uid="{E858910E-D2A6-4B0E-9B54-892A60BDA0AC}"/>
    <cellStyle name="Normal 2 4 2 3 3 3 3" xfId="5093" xr:uid="{00000000-0005-0000-0000-0000000F0000}"/>
    <cellStyle name="Normal 2 4 2 3 3 3 3 2" xfId="14419" xr:uid="{48A507D1-56E2-45BF-9714-A602CAE7AD15}"/>
    <cellStyle name="Normal 2 4 2 3 3 3 4" xfId="9316" xr:uid="{C8C83D09-5A3A-4C90-8A04-9D7CD8C85B11}"/>
    <cellStyle name="Normal 2 4 2 3 3 3 4 2" xfId="18631" xr:uid="{2A6197BC-253E-48A8-B055-D464E2E625D3}"/>
    <cellStyle name="Normal 2 4 2 3 3 3 5" xfId="10202" xr:uid="{0A7AD088-BF97-4C36-854F-74F9E24BA53D}"/>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2 2 2" xfId="16977" xr:uid="{C2229C35-71A7-4C11-BE10-5D7CAF8DA0EB}"/>
    <cellStyle name="Normal 2 4 2 3 3 4 2 3" xfId="12760" xr:uid="{5AD51AA3-F49B-4F12-AE9E-BDE2C3401E16}"/>
    <cellStyle name="Normal 2 4 2 3 3 4 3" xfId="5506" xr:uid="{00000000-0005-0000-0000-0000040F0000}"/>
    <cellStyle name="Normal 2 4 2 3 3 4 3 2" xfId="14832" xr:uid="{9918A62D-B401-4C21-A506-164CDFCB5078}"/>
    <cellStyle name="Normal 2 4 2 3 3 4 4" xfId="10615" xr:uid="{7378C71B-F04E-4610-A9D6-49318DB761B1}"/>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2 2 2" xfId="17390" xr:uid="{83EBF12B-AE81-4C0F-825F-D12238555861}"/>
    <cellStyle name="Normal 2 4 2 3 3 5 2 3" xfId="13173" xr:uid="{F0CB7D31-31AF-41E6-87E0-9FE614443F66}"/>
    <cellStyle name="Normal 2 4 2 3 3 5 3" xfId="5919" xr:uid="{00000000-0005-0000-0000-0000080F0000}"/>
    <cellStyle name="Normal 2 4 2 3 3 5 3 2" xfId="15245" xr:uid="{E04B7869-D4C7-419D-8C8C-6E17229404F3}"/>
    <cellStyle name="Normal 2 4 2 3 3 5 4" xfId="11028" xr:uid="{47446D0A-3D19-482A-91DF-B9E1730C127D}"/>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2 2 2" xfId="17803" xr:uid="{F54DF4EB-A594-4372-8349-E3EAC0D9D338}"/>
    <cellStyle name="Normal 2 4 2 3 3 6 2 3" xfId="13586" xr:uid="{69742C2F-FAEF-461D-9502-63078D6AB4BA}"/>
    <cellStyle name="Normal 2 4 2 3 3 6 3" xfId="6332" xr:uid="{00000000-0005-0000-0000-00000C0F0000}"/>
    <cellStyle name="Normal 2 4 2 3 3 6 3 2" xfId="15658" xr:uid="{C5FCE453-59B1-4160-BB73-4C4EB0977A5D}"/>
    <cellStyle name="Normal 2 4 2 3 3 6 4" xfId="11441" xr:uid="{303E201D-D5D4-4B49-A83E-E6385276CB23}"/>
    <cellStyle name="Normal 2 4 2 3 3 7" xfId="2462" xr:uid="{00000000-0005-0000-0000-00000D0F0000}"/>
    <cellStyle name="Normal 2 4 2 3 3 7 2" xfId="6745" xr:uid="{00000000-0005-0000-0000-00000E0F0000}"/>
    <cellStyle name="Normal 2 4 2 3 3 7 2 2" xfId="16071" xr:uid="{898DA128-DFB9-43B9-B4D5-BEB7525B1E9C}"/>
    <cellStyle name="Normal 2 4 2 3 3 7 3" xfId="11854" xr:uid="{6B9B648F-4A4A-4DFB-BB28-D2BBAED4DD1D}"/>
    <cellStyle name="Normal 2 4 2 3 3 8" xfId="4679" xr:uid="{00000000-0005-0000-0000-00000F0F0000}"/>
    <cellStyle name="Normal 2 4 2 3 3 8 2" xfId="14005" xr:uid="{27B833F4-DFCA-4D7B-9D88-0066552D6D5F}"/>
    <cellStyle name="Normal 2 4 2 3 3 9" xfId="8891" xr:uid="{D2DF60A1-A34B-4A3F-B29E-E581EFBA8360}"/>
    <cellStyle name="Normal 2 4 2 3 3 9 2" xfId="18215" xr:uid="{BACAAEF4-7564-46AC-9A87-361DF33727AF}"/>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2 2 2" xfId="16566" xr:uid="{E74A3457-6479-498E-B203-0249575864BA}"/>
    <cellStyle name="Normal 2 4 2 3 4 2 2 3" xfId="12349" xr:uid="{1E71B61C-EACC-4A28-867A-BB78A7399D5E}"/>
    <cellStyle name="Normal 2 4 2 3 4 2 3" xfId="5095" xr:uid="{00000000-0005-0000-0000-0000140F0000}"/>
    <cellStyle name="Normal 2 4 2 3 4 2 3 2" xfId="14421" xr:uid="{98F5181B-3F37-4777-81B3-276403A501AA}"/>
    <cellStyle name="Normal 2 4 2 3 4 2 4" xfId="9420" xr:uid="{49E252B3-99BC-416A-A0CB-FE2641ECFDE3}"/>
    <cellStyle name="Normal 2 4 2 3 4 2 4 2" xfId="18735" xr:uid="{D9A19C34-F453-4C45-94A0-A3B6DFC40F6B}"/>
    <cellStyle name="Normal 2 4 2 3 4 2 5" xfId="10204" xr:uid="{E9ACC7FE-9E7D-40CF-8D5A-ED2FABDD7DE7}"/>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2 2 2" xfId="16979" xr:uid="{D01146D6-BE90-4637-9539-09B85E99D437}"/>
    <cellStyle name="Normal 2 4 2 3 4 3 2 3" xfId="12762" xr:uid="{1C7FDC35-5E6B-45EA-9DB4-FD531E597430}"/>
    <cellStyle name="Normal 2 4 2 3 4 3 3" xfId="5508" xr:uid="{00000000-0005-0000-0000-0000180F0000}"/>
    <cellStyle name="Normal 2 4 2 3 4 3 3 2" xfId="14834" xr:uid="{C0CA48D1-1873-4A3A-9772-F7818A2F3F98}"/>
    <cellStyle name="Normal 2 4 2 3 4 3 4" xfId="10617" xr:uid="{0CE2E7BA-9221-4E43-AF83-CEB5F792B934}"/>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2 2 2" xfId="17392" xr:uid="{CC620904-2CD0-43B8-9662-8232AB9626A5}"/>
    <cellStyle name="Normal 2 4 2 3 4 4 2 3" xfId="13175" xr:uid="{D7D11826-0293-4B3E-A310-50C8FDD8F624}"/>
    <cellStyle name="Normal 2 4 2 3 4 4 3" xfId="5921" xr:uid="{00000000-0005-0000-0000-00001C0F0000}"/>
    <cellStyle name="Normal 2 4 2 3 4 4 3 2" xfId="15247" xr:uid="{520DDF16-982E-48B2-94D7-54BB3573D829}"/>
    <cellStyle name="Normal 2 4 2 3 4 4 4" xfId="11030" xr:uid="{DE9B643B-405A-465C-970E-67824709366A}"/>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2 2 2" xfId="17805" xr:uid="{8B23CB2D-341A-4028-8D0F-96462E8F03DC}"/>
    <cellStyle name="Normal 2 4 2 3 4 5 2 3" xfId="13588" xr:uid="{698965D1-8996-4FF7-BEAC-E60C69EF9FCC}"/>
    <cellStyle name="Normal 2 4 2 3 4 5 3" xfId="6334" xr:uid="{00000000-0005-0000-0000-0000200F0000}"/>
    <cellStyle name="Normal 2 4 2 3 4 5 3 2" xfId="15660" xr:uid="{6D43BD7C-E7E2-430C-8CFF-1CEE109F3582}"/>
    <cellStyle name="Normal 2 4 2 3 4 5 4" xfId="11443" xr:uid="{B82DD135-ABE6-41DB-90DA-8A9A9298335E}"/>
    <cellStyle name="Normal 2 4 2 3 4 6" xfId="2464" xr:uid="{00000000-0005-0000-0000-0000210F0000}"/>
    <cellStyle name="Normal 2 4 2 3 4 6 2" xfId="6747" xr:uid="{00000000-0005-0000-0000-0000220F0000}"/>
    <cellStyle name="Normal 2 4 2 3 4 6 2 2" xfId="16073" xr:uid="{C222E8BC-D9A3-4788-B8AB-E2D038B80CE5}"/>
    <cellStyle name="Normal 2 4 2 3 4 6 3" xfId="11856" xr:uid="{3943F9A0-EC15-4E76-8959-1C00BE50D6DA}"/>
    <cellStyle name="Normal 2 4 2 3 4 7" xfId="4681" xr:uid="{00000000-0005-0000-0000-0000230F0000}"/>
    <cellStyle name="Normal 2 4 2 3 4 7 2" xfId="14007" xr:uid="{A602826A-913C-486E-8520-EEBD538E0A0A}"/>
    <cellStyle name="Normal 2 4 2 3 4 8" xfId="8995" xr:uid="{EEE25A27-4C18-4948-8341-FF27707A7A86}"/>
    <cellStyle name="Normal 2 4 2 3 4 8 2" xfId="18319" xr:uid="{BF2BFDC9-7570-414F-B7A4-8B614938DD3F}"/>
    <cellStyle name="Normal 2 4 2 3 4 9" xfId="9790" xr:uid="{2BC145F2-4E1D-4205-AA70-00877A63E9A8}"/>
    <cellStyle name="Normal 2 4 2 3 5" xfId="772" xr:uid="{00000000-0005-0000-0000-0000240F0000}"/>
    <cellStyle name="Normal 2 4 2 3 5 2" xfId="3011" xr:uid="{00000000-0005-0000-0000-0000250F0000}"/>
    <cellStyle name="Normal 2 4 2 3 5 2 2" xfId="7233" xr:uid="{00000000-0005-0000-0000-0000260F0000}"/>
    <cellStyle name="Normal 2 4 2 3 5 2 2 2" xfId="16559" xr:uid="{681EADED-9FF0-4B5E-BE92-6999640CF654}"/>
    <cellStyle name="Normal 2 4 2 3 5 2 3" xfId="12342" xr:uid="{584825BD-449A-436E-A27C-31DC30353BCB}"/>
    <cellStyle name="Normal 2 4 2 3 5 3" xfId="5088" xr:uid="{00000000-0005-0000-0000-0000270F0000}"/>
    <cellStyle name="Normal 2 4 2 3 5 3 2" xfId="14414" xr:uid="{6D14CA0E-8841-4C57-A008-6AF969FBB312}"/>
    <cellStyle name="Normal 2 4 2 3 5 4" xfId="9212" xr:uid="{39F1BF9F-C79C-4226-B2D8-665EAA6F3686}"/>
    <cellStyle name="Normal 2 4 2 3 5 4 2" xfId="18528" xr:uid="{99ED6663-ABA3-47B4-8D3F-A268452896E9}"/>
    <cellStyle name="Normal 2 4 2 3 5 5" xfId="10197" xr:uid="{96938471-2754-436D-AEC8-6AA2A22849CF}"/>
    <cellStyle name="Normal 2 4 2 3 6" xfId="1194" xr:uid="{00000000-0005-0000-0000-0000280F0000}"/>
    <cellStyle name="Normal 2 4 2 3 6 2" xfId="3424" xr:uid="{00000000-0005-0000-0000-0000290F0000}"/>
    <cellStyle name="Normal 2 4 2 3 6 2 2" xfId="7646" xr:uid="{00000000-0005-0000-0000-00002A0F0000}"/>
    <cellStyle name="Normal 2 4 2 3 6 2 2 2" xfId="16972" xr:uid="{310E4EDA-15DC-409F-8A66-DEF8CF56139E}"/>
    <cellStyle name="Normal 2 4 2 3 6 2 3" xfId="12755" xr:uid="{41F2C091-F5CA-4D37-9D7E-0400E453D57A}"/>
    <cellStyle name="Normal 2 4 2 3 6 3" xfId="5501" xr:uid="{00000000-0005-0000-0000-00002B0F0000}"/>
    <cellStyle name="Normal 2 4 2 3 6 3 2" xfId="14827" xr:uid="{8A6E964F-3207-41DD-9B71-1936A556106D}"/>
    <cellStyle name="Normal 2 4 2 3 6 4" xfId="10610" xr:uid="{21FC8056-94BA-4B80-8CB2-342D2DD33FE3}"/>
    <cellStyle name="Normal 2 4 2 3 7" xfId="1607" xr:uid="{00000000-0005-0000-0000-00002C0F0000}"/>
    <cellStyle name="Normal 2 4 2 3 7 2" xfId="3837" xr:uid="{00000000-0005-0000-0000-00002D0F0000}"/>
    <cellStyle name="Normal 2 4 2 3 7 2 2" xfId="8059" xr:uid="{00000000-0005-0000-0000-00002E0F0000}"/>
    <cellStyle name="Normal 2 4 2 3 7 2 2 2" xfId="17385" xr:uid="{AC018C8B-2244-400E-844E-37068B4FF145}"/>
    <cellStyle name="Normal 2 4 2 3 7 2 3" xfId="13168" xr:uid="{813E0F12-BDB2-4650-8401-12EA81B6A794}"/>
    <cellStyle name="Normal 2 4 2 3 7 3" xfId="5914" xr:uid="{00000000-0005-0000-0000-00002F0F0000}"/>
    <cellStyle name="Normal 2 4 2 3 7 3 2" xfId="15240" xr:uid="{B59C08F2-20F6-45D8-99C8-81BECE36D0B5}"/>
    <cellStyle name="Normal 2 4 2 3 7 4" xfId="11023" xr:uid="{EFDFCCCE-343A-4218-A570-9A9632FD3804}"/>
    <cellStyle name="Normal 2 4 2 3 8" xfId="2021" xr:uid="{00000000-0005-0000-0000-0000300F0000}"/>
    <cellStyle name="Normal 2 4 2 3 8 2" xfId="4250" xr:uid="{00000000-0005-0000-0000-0000310F0000}"/>
    <cellStyle name="Normal 2 4 2 3 8 2 2" xfId="8472" xr:uid="{00000000-0005-0000-0000-0000320F0000}"/>
    <cellStyle name="Normal 2 4 2 3 8 2 2 2" xfId="17798" xr:uid="{057EBF7A-BC5B-465D-A1CA-ADDF90CA9617}"/>
    <cellStyle name="Normal 2 4 2 3 8 2 3" xfId="13581" xr:uid="{27CF4388-4696-489D-A8C3-6534D4EA2814}"/>
    <cellStyle name="Normal 2 4 2 3 8 3" xfId="6327" xr:uid="{00000000-0005-0000-0000-0000330F0000}"/>
    <cellStyle name="Normal 2 4 2 3 8 3 2" xfId="15653" xr:uid="{1544DB56-F136-4D5A-8DD7-290EE73F1A51}"/>
    <cellStyle name="Normal 2 4 2 3 8 4" xfId="11436" xr:uid="{A2101CCE-7003-490C-98A1-420755DD4A65}"/>
    <cellStyle name="Normal 2 4 2 3 9" xfId="2457" xr:uid="{00000000-0005-0000-0000-0000340F0000}"/>
    <cellStyle name="Normal 2 4 2 3 9 2" xfId="6740" xr:uid="{00000000-0005-0000-0000-0000350F0000}"/>
    <cellStyle name="Normal 2 4 2 3 9 2 2" xfId="16066" xr:uid="{310C6044-29B7-43BB-9485-1D11768180C4}"/>
    <cellStyle name="Normal 2 4 2 3 9 3" xfId="11849" xr:uid="{B7EBBEC4-9183-442D-B4DA-1DCC9F2A4C6D}"/>
    <cellStyle name="Normal 2 4 2 4" xfId="289" xr:uid="{00000000-0005-0000-0000-0000360F0000}"/>
    <cellStyle name="Normal 2 4 2 4 10" xfId="8812" xr:uid="{C2E08BA7-2068-4F74-AFE2-E0AED0B82FE2}"/>
    <cellStyle name="Normal 2 4 2 4 10 2" xfId="18136" xr:uid="{16384FD3-43E2-4470-8779-B088251DEF52}"/>
    <cellStyle name="Normal 2 4 2 4 11" xfId="9791" xr:uid="{E226210B-0B79-483C-87FD-6FF32C57F930}"/>
    <cellStyle name="Normal 2 4 2 4 2" xfId="290" xr:uid="{00000000-0005-0000-0000-0000370F0000}"/>
    <cellStyle name="Normal 2 4 2 4 2 10" xfId="9792" xr:uid="{5B2D56AD-2390-400C-86B8-9ADB23B4D6EA}"/>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2 2 2" xfId="16569" xr:uid="{711BAEF2-0581-40CA-8A16-CDE82B8383B7}"/>
    <cellStyle name="Normal 2 4 2 4 2 2 2 2 3" xfId="12352" xr:uid="{CF96E214-CF77-4564-AB32-80FA5874C120}"/>
    <cellStyle name="Normal 2 4 2 4 2 2 2 3" xfId="5098" xr:uid="{00000000-0005-0000-0000-00003C0F0000}"/>
    <cellStyle name="Normal 2 4 2 4 2 2 2 3 2" xfId="14424" xr:uid="{6FFCDACC-9568-49FA-A400-F56DBCA8889F}"/>
    <cellStyle name="Normal 2 4 2 4 2 2 2 4" xfId="9547" xr:uid="{F8909421-8B16-4168-8B85-A5523C430C3C}"/>
    <cellStyle name="Normal 2 4 2 4 2 2 2 4 2" xfId="18862" xr:uid="{E6C4E80C-7E96-4C8A-B6AF-8FC02E42D0D2}"/>
    <cellStyle name="Normal 2 4 2 4 2 2 2 5" xfId="10207" xr:uid="{236D8E27-CD98-452A-81AC-39DE781E8820}"/>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2 2 2" xfId="16982" xr:uid="{D800E8A6-6ED1-4C3A-B414-BE73EE84EA27}"/>
    <cellStyle name="Normal 2 4 2 4 2 2 3 2 3" xfId="12765" xr:uid="{6F575FC7-5792-4E18-A703-D13B080BDE5D}"/>
    <cellStyle name="Normal 2 4 2 4 2 2 3 3" xfId="5511" xr:uid="{00000000-0005-0000-0000-0000400F0000}"/>
    <cellStyle name="Normal 2 4 2 4 2 2 3 3 2" xfId="14837" xr:uid="{A7F91D64-BDE9-48F0-B535-154749F0F2B5}"/>
    <cellStyle name="Normal 2 4 2 4 2 2 3 4" xfId="10620" xr:uid="{CE7F980E-40F8-452C-8169-C63B4AADAB08}"/>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2 2 2" xfId="17395" xr:uid="{1BE5EA75-5ADA-4267-B3A6-7B2A3EAF8F4E}"/>
    <cellStyle name="Normal 2 4 2 4 2 2 4 2 3" xfId="13178" xr:uid="{A3227E5E-A9FA-4ADB-AFA7-41A3BF196795}"/>
    <cellStyle name="Normal 2 4 2 4 2 2 4 3" xfId="5924" xr:uid="{00000000-0005-0000-0000-0000440F0000}"/>
    <cellStyle name="Normal 2 4 2 4 2 2 4 3 2" xfId="15250" xr:uid="{0885AC00-262E-4E2E-B164-3081DDCAD3ED}"/>
    <cellStyle name="Normal 2 4 2 4 2 2 4 4" xfId="11033" xr:uid="{FEF37396-7B54-42AD-A057-521DD39F6671}"/>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2 2 2" xfId="17808" xr:uid="{A1698A85-A83D-4271-AA4A-E14D3D3A1C0B}"/>
    <cellStyle name="Normal 2 4 2 4 2 2 5 2 3" xfId="13591" xr:uid="{113BC2F6-19E7-4BA6-BCCB-74B898049E82}"/>
    <cellStyle name="Normal 2 4 2 4 2 2 5 3" xfId="6337" xr:uid="{00000000-0005-0000-0000-0000480F0000}"/>
    <cellStyle name="Normal 2 4 2 4 2 2 5 3 2" xfId="15663" xr:uid="{A62395CE-0174-4053-B8E3-E05635777CF6}"/>
    <cellStyle name="Normal 2 4 2 4 2 2 5 4" xfId="11446" xr:uid="{60AC199B-E8D5-4218-80B1-626C8761E341}"/>
    <cellStyle name="Normal 2 4 2 4 2 2 6" xfId="2467" xr:uid="{00000000-0005-0000-0000-0000490F0000}"/>
    <cellStyle name="Normal 2 4 2 4 2 2 6 2" xfId="6750" xr:uid="{00000000-0005-0000-0000-00004A0F0000}"/>
    <cellStyle name="Normal 2 4 2 4 2 2 6 2 2" xfId="16076" xr:uid="{9C14F19D-733C-493B-8026-21C0E1B9A6F5}"/>
    <cellStyle name="Normal 2 4 2 4 2 2 6 3" xfId="11859" xr:uid="{172944D3-51A3-449B-A597-CEE6F320385A}"/>
    <cellStyle name="Normal 2 4 2 4 2 2 7" xfId="4684" xr:uid="{00000000-0005-0000-0000-00004B0F0000}"/>
    <cellStyle name="Normal 2 4 2 4 2 2 7 2" xfId="14010" xr:uid="{914A8C52-3B84-4045-AE86-061E2D065BCD}"/>
    <cellStyle name="Normal 2 4 2 4 2 2 8" xfId="9122" xr:uid="{861CB008-611F-4F3F-9D09-5BCA5A4CB255}"/>
    <cellStyle name="Normal 2 4 2 4 2 2 8 2" xfId="18446" xr:uid="{196C3745-53DB-4FD3-86EA-4146B8515BF3}"/>
    <cellStyle name="Normal 2 4 2 4 2 2 9" xfId="9793" xr:uid="{A0ECF4A6-F0EC-4132-A1F0-6B22093A685A}"/>
    <cellStyle name="Normal 2 4 2 4 2 3" xfId="781" xr:uid="{00000000-0005-0000-0000-00004C0F0000}"/>
    <cellStyle name="Normal 2 4 2 4 2 3 2" xfId="3020" xr:uid="{00000000-0005-0000-0000-00004D0F0000}"/>
    <cellStyle name="Normal 2 4 2 4 2 3 2 2" xfId="7242" xr:uid="{00000000-0005-0000-0000-00004E0F0000}"/>
    <cellStyle name="Normal 2 4 2 4 2 3 2 2 2" xfId="16568" xr:uid="{FB8E48C3-EE25-4AD7-BB23-95AA60C2745C}"/>
    <cellStyle name="Normal 2 4 2 4 2 3 2 3" xfId="12351" xr:uid="{D48C014E-DEDE-42D6-91B6-76CFC1AD36DD}"/>
    <cellStyle name="Normal 2 4 2 4 2 3 3" xfId="5097" xr:uid="{00000000-0005-0000-0000-00004F0F0000}"/>
    <cellStyle name="Normal 2 4 2 4 2 3 3 2" xfId="14423" xr:uid="{34CDC8F4-D26C-4918-BFE6-E40192D733CE}"/>
    <cellStyle name="Normal 2 4 2 4 2 3 4" xfId="9340" xr:uid="{2D1F2F91-F6E8-42AC-98D0-B8667E0ECE37}"/>
    <cellStyle name="Normal 2 4 2 4 2 3 4 2" xfId="18655" xr:uid="{3BCDF4EA-EDDF-426A-A79A-C6D958A5EFF1}"/>
    <cellStyle name="Normal 2 4 2 4 2 3 5" xfId="10206" xr:uid="{8880AB4F-1D5D-4112-A221-2D024ED8941B}"/>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2 2 2" xfId="16981" xr:uid="{8F0C63F4-9776-4863-8F64-C5BA8675CF1A}"/>
    <cellStyle name="Normal 2 4 2 4 2 4 2 3" xfId="12764" xr:uid="{482B6AB1-B3AD-4AA3-8688-CCF943455A3B}"/>
    <cellStyle name="Normal 2 4 2 4 2 4 3" xfId="5510" xr:uid="{00000000-0005-0000-0000-0000530F0000}"/>
    <cellStyle name="Normal 2 4 2 4 2 4 3 2" xfId="14836" xr:uid="{FB8172ED-1157-4816-B50D-512467BE0B4F}"/>
    <cellStyle name="Normal 2 4 2 4 2 4 4" xfId="10619" xr:uid="{D0FE8087-4C76-420B-99AB-EDCB5104F21F}"/>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2 2 2" xfId="17394" xr:uid="{003315EC-F402-4E41-9567-E784961BA037}"/>
    <cellStyle name="Normal 2 4 2 4 2 5 2 3" xfId="13177" xr:uid="{EFCA9D39-29C9-4D75-B4CB-B75897B37424}"/>
    <cellStyle name="Normal 2 4 2 4 2 5 3" xfId="5923" xr:uid="{00000000-0005-0000-0000-0000570F0000}"/>
    <cellStyle name="Normal 2 4 2 4 2 5 3 2" xfId="15249" xr:uid="{DC545D20-E610-4C4D-AF30-72B0C614790F}"/>
    <cellStyle name="Normal 2 4 2 4 2 5 4" xfId="11032" xr:uid="{928479FF-725D-4979-A907-9F3D090D28A3}"/>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2 2 2" xfId="17807" xr:uid="{09BF2EA5-E481-4444-A871-63D1C02B9615}"/>
    <cellStyle name="Normal 2 4 2 4 2 6 2 3" xfId="13590" xr:uid="{5919C733-2989-40DF-9DAD-D6199FCA2D38}"/>
    <cellStyle name="Normal 2 4 2 4 2 6 3" xfId="6336" xr:uid="{00000000-0005-0000-0000-00005B0F0000}"/>
    <cellStyle name="Normal 2 4 2 4 2 6 3 2" xfId="15662" xr:uid="{90FD872C-AD4A-47D2-8713-58AEB4D5C0DE}"/>
    <cellStyle name="Normal 2 4 2 4 2 6 4" xfId="11445" xr:uid="{9D500A17-E8E4-42F4-85B7-D74FA76AB670}"/>
    <cellStyle name="Normal 2 4 2 4 2 7" xfId="2466" xr:uid="{00000000-0005-0000-0000-00005C0F0000}"/>
    <cellStyle name="Normal 2 4 2 4 2 7 2" xfId="6749" xr:uid="{00000000-0005-0000-0000-00005D0F0000}"/>
    <cellStyle name="Normal 2 4 2 4 2 7 2 2" xfId="16075" xr:uid="{F9AF7DD7-C367-43EC-9CFC-E87A25893487}"/>
    <cellStyle name="Normal 2 4 2 4 2 7 3" xfId="11858" xr:uid="{5A4658E8-FDBA-4C18-93C8-3C421EBD9477}"/>
    <cellStyle name="Normal 2 4 2 4 2 8" xfId="4683" xr:uid="{00000000-0005-0000-0000-00005E0F0000}"/>
    <cellStyle name="Normal 2 4 2 4 2 8 2" xfId="14009" xr:uid="{FF4DDAD1-4A38-4057-A044-07BABE5192DC}"/>
    <cellStyle name="Normal 2 4 2 4 2 9" xfId="8915" xr:uid="{2BEB15AA-2AFA-47D4-AC0E-63DAF2CFE119}"/>
    <cellStyle name="Normal 2 4 2 4 2 9 2" xfId="18239" xr:uid="{C2C0A9F4-7F4A-4293-A3E1-749258AAF26C}"/>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2 2 2" xfId="16570" xr:uid="{B3C59E93-B7AB-41ED-A78D-B6455ED52F58}"/>
    <cellStyle name="Normal 2 4 2 4 3 2 2 3" xfId="12353" xr:uid="{051AB6A7-07B4-44B8-AD5E-10BBC569594B}"/>
    <cellStyle name="Normal 2 4 2 4 3 2 3" xfId="5099" xr:uid="{00000000-0005-0000-0000-0000630F0000}"/>
    <cellStyle name="Normal 2 4 2 4 3 2 3 2" xfId="14425" xr:uid="{43851909-C56D-432D-8324-4BCCA5075B9E}"/>
    <cellStyle name="Normal 2 4 2 4 3 2 4" xfId="9444" xr:uid="{807939DF-E7C0-4015-A3D8-AE9E56020172}"/>
    <cellStyle name="Normal 2 4 2 4 3 2 4 2" xfId="18759" xr:uid="{7F7D8B85-B760-4F66-8AA2-F6CC2179D004}"/>
    <cellStyle name="Normal 2 4 2 4 3 2 5" xfId="10208" xr:uid="{D3A847F0-6165-4DDB-85CE-B6A9AD16EDCD}"/>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2 2 2" xfId="16983" xr:uid="{BA9B7201-7262-4521-91A1-199BA880627C}"/>
    <cellStyle name="Normal 2 4 2 4 3 3 2 3" xfId="12766" xr:uid="{D92E49CB-6240-4DD0-8E59-DA727CA3A140}"/>
    <cellStyle name="Normal 2 4 2 4 3 3 3" xfId="5512" xr:uid="{00000000-0005-0000-0000-0000670F0000}"/>
    <cellStyle name="Normal 2 4 2 4 3 3 3 2" xfId="14838" xr:uid="{9D535372-0DAF-4E37-A0A8-1EA5CB66A480}"/>
    <cellStyle name="Normal 2 4 2 4 3 3 4" xfId="10621" xr:uid="{5AD12E26-D95F-4D74-990D-F4B13C156691}"/>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2 2 2" xfId="17396" xr:uid="{9F2352DF-32C6-43DC-9B5D-65ECC4817091}"/>
    <cellStyle name="Normal 2 4 2 4 3 4 2 3" xfId="13179" xr:uid="{C8533CD4-4A15-4425-9243-5332977AC6A6}"/>
    <cellStyle name="Normal 2 4 2 4 3 4 3" xfId="5925" xr:uid="{00000000-0005-0000-0000-00006B0F0000}"/>
    <cellStyle name="Normal 2 4 2 4 3 4 3 2" xfId="15251" xr:uid="{E7078E91-4F9C-4F4E-874C-10B264691847}"/>
    <cellStyle name="Normal 2 4 2 4 3 4 4" xfId="11034" xr:uid="{8A8CCE0C-3E67-4AD0-81B8-0606C3F8B44A}"/>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2 2 2" xfId="17809" xr:uid="{32C9C237-3600-4B03-861C-98D0DDEDE852}"/>
    <cellStyle name="Normal 2 4 2 4 3 5 2 3" xfId="13592" xr:uid="{371791DE-354C-4047-999E-3709EA9EC2DA}"/>
    <cellStyle name="Normal 2 4 2 4 3 5 3" xfId="6338" xr:uid="{00000000-0005-0000-0000-00006F0F0000}"/>
    <cellStyle name="Normal 2 4 2 4 3 5 3 2" xfId="15664" xr:uid="{A711A1AA-CD3D-4970-BC05-EA86EE33D504}"/>
    <cellStyle name="Normal 2 4 2 4 3 5 4" xfId="11447" xr:uid="{939F67AA-91A5-42B1-A408-BE2D2E554AF5}"/>
    <cellStyle name="Normal 2 4 2 4 3 6" xfId="2468" xr:uid="{00000000-0005-0000-0000-0000700F0000}"/>
    <cellStyle name="Normal 2 4 2 4 3 6 2" xfId="6751" xr:uid="{00000000-0005-0000-0000-0000710F0000}"/>
    <cellStyle name="Normal 2 4 2 4 3 6 2 2" xfId="16077" xr:uid="{D29055A0-6591-438C-8810-0710E652642C}"/>
    <cellStyle name="Normal 2 4 2 4 3 6 3" xfId="11860" xr:uid="{65AC848C-FEB2-4550-BCA4-C1D8F8FE2272}"/>
    <cellStyle name="Normal 2 4 2 4 3 7" xfId="4685" xr:uid="{00000000-0005-0000-0000-0000720F0000}"/>
    <cellStyle name="Normal 2 4 2 4 3 7 2" xfId="14011" xr:uid="{2C8B27EC-FB6F-48A6-B045-A6EA6F330C32}"/>
    <cellStyle name="Normal 2 4 2 4 3 8" xfId="9019" xr:uid="{1F22810F-FF7D-4FF4-861A-F2BA8F253428}"/>
    <cellStyle name="Normal 2 4 2 4 3 8 2" xfId="18343" xr:uid="{D9D68C2E-3819-4088-91BD-2A1C13740BFB}"/>
    <cellStyle name="Normal 2 4 2 4 3 9" xfId="9794" xr:uid="{8DD2C9D3-AE1D-4BDF-A657-2487254054D3}"/>
    <cellStyle name="Normal 2 4 2 4 4" xfId="780" xr:uid="{00000000-0005-0000-0000-0000730F0000}"/>
    <cellStyle name="Normal 2 4 2 4 4 2" xfId="3019" xr:uid="{00000000-0005-0000-0000-0000740F0000}"/>
    <cellStyle name="Normal 2 4 2 4 4 2 2" xfId="7241" xr:uid="{00000000-0005-0000-0000-0000750F0000}"/>
    <cellStyle name="Normal 2 4 2 4 4 2 2 2" xfId="16567" xr:uid="{ED46FDB1-034C-4942-8B13-14B011155D81}"/>
    <cellStyle name="Normal 2 4 2 4 4 2 3" xfId="12350" xr:uid="{F314B52F-3E04-4F96-9768-12615AE0ECE1}"/>
    <cellStyle name="Normal 2 4 2 4 4 3" xfId="5096" xr:uid="{00000000-0005-0000-0000-0000760F0000}"/>
    <cellStyle name="Normal 2 4 2 4 4 3 2" xfId="14422" xr:uid="{47DAE5A1-600B-4E37-B806-80AF99816F94}"/>
    <cellStyle name="Normal 2 4 2 4 4 4" xfId="9237" xr:uid="{FF4B133D-A40B-4895-9E3D-E727B18E66C8}"/>
    <cellStyle name="Normal 2 4 2 4 4 4 2" xfId="18552" xr:uid="{5C917F9C-E349-44E7-AECD-340A29D8E9AA}"/>
    <cellStyle name="Normal 2 4 2 4 4 5" xfId="10205" xr:uid="{07C09279-5ABB-4BF9-9A00-58A9F2AAD6B0}"/>
    <cellStyle name="Normal 2 4 2 4 5" xfId="1202" xr:uid="{00000000-0005-0000-0000-0000770F0000}"/>
    <cellStyle name="Normal 2 4 2 4 5 2" xfId="3432" xr:uid="{00000000-0005-0000-0000-0000780F0000}"/>
    <cellStyle name="Normal 2 4 2 4 5 2 2" xfId="7654" xr:uid="{00000000-0005-0000-0000-0000790F0000}"/>
    <cellStyle name="Normal 2 4 2 4 5 2 2 2" xfId="16980" xr:uid="{2BD6D401-96E2-4DCD-BCF9-6AF053F13EA0}"/>
    <cellStyle name="Normal 2 4 2 4 5 2 3" xfId="12763" xr:uid="{66087A8C-FDAA-410B-A80B-EFF24F358177}"/>
    <cellStyle name="Normal 2 4 2 4 5 3" xfId="5509" xr:uid="{00000000-0005-0000-0000-00007A0F0000}"/>
    <cellStyle name="Normal 2 4 2 4 5 3 2" xfId="14835" xr:uid="{F211933B-5C52-4E0D-8C9C-D69D2B0A4987}"/>
    <cellStyle name="Normal 2 4 2 4 5 4" xfId="10618" xr:uid="{CBAD9F25-B350-4366-B476-29D6E68C029D}"/>
    <cellStyle name="Normal 2 4 2 4 6" xfId="1615" xr:uid="{00000000-0005-0000-0000-00007B0F0000}"/>
    <cellStyle name="Normal 2 4 2 4 6 2" xfId="3845" xr:uid="{00000000-0005-0000-0000-00007C0F0000}"/>
    <cellStyle name="Normal 2 4 2 4 6 2 2" xfId="8067" xr:uid="{00000000-0005-0000-0000-00007D0F0000}"/>
    <cellStyle name="Normal 2 4 2 4 6 2 2 2" xfId="17393" xr:uid="{88734BA8-02C2-4339-B4B6-E39C1DFB2A19}"/>
    <cellStyle name="Normal 2 4 2 4 6 2 3" xfId="13176" xr:uid="{4CCF0A45-6134-42AC-8817-2C0BCC1BF00D}"/>
    <cellStyle name="Normal 2 4 2 4 6 3" xfId="5922" xr:uid="{00000000-0005-0000-0000-00007E0F0000}"/>
    <cellStyle name="Normal 2 4 2 4 6 3 2" xfId="15248" xr:uid="{84B1E8C4-213E-45E4-90AF-1136FFFB0114}"/>
    <cellStyle name="Normal 2 4 2 4 6 4" xfId="11031" xr:uid="{289FCA47-2EFE-41B0-AD15-BD8E1814E6DC}"/>
    <cellStyle name="Normal 2 4 2 4 7" xfId="2029" xr:uid="{00000000-0005-0000-0000-00007F0F0000}"/>
    <cellStyle name="Normal 2 4 2 4 7 2" xfId="4258" xr:uid="{00000000-0005-0000-0000-0000800F0000}"/>
    <cellStyle name="Normal 2 4 2 4 7 2 2" xfId="8480" xr:uid="{00000000-0005-0000-0000-0000810F0000}"/>
    <cellStyle name="Normal 2 4 2 4 7 2 2 2" xfId="17806" xr:uid="{AD7A2F1D-7114-42C9-BA36-E5333A7170B6}"/>
    <cellStyle name="Normal 2 4 2 4 7 2 3" xfId="13589" xr:uid="{D587B639-0560-4F63-9F3D-06BA729AB9BD}"/>
    <cellStyle name="Normal 2 4 2 4 7 3" xfId="6335" xr:uid="{00000000-0005-0000-0000-0000820F0000}"/>
    <cellStyle name="Normal 2 4 2 4 7 3 2" xfId="15661" xr:uid="{7C886B84-8015-4C9F-87EE-D937D0BBD729}"/>
    <cellStyle name="Normal 2 4 2 4 7 4" xfId="11444" xr:uid="{8F77A176-800D-4EAB-B2AA-8795105292CA}"/>
    <cellStyle name="Normal 2 4 2 4 8" xfId="2465" xr:uid="{00000000-0005-0000-0000-0000830F0000}"/>
    <cellStyle name="Normal 2 4 2 4 8 2" xfId="6748" xr:uid="{00000000-0005-0000-0000-0000840F0000}"/>
    <cellStyle name="Normal 2 4 2 4 8 2 2" xfId="16074" xr:uid="{2D388A6D-78D1-4680-BBFD-EA9EA602615A}"/>
    <cellStyle name="Normal 2 4 2 4 8 3" xfId="11857" xr:uid="{102C8D03-3B0F-4057-89E4-4B533DB27400}"/>
    <cellStyle name="Normal 2 4 2 4 9" xfId="4682" xr:uid="{00000000-0005-0000-0000-0000850F0000}"/>
    <cellStyle name="Normal 2 4 2 4 9 2" xfId="14008" xr:uid="{3D505907-F221-4722-A39E-7A57EA5F5E4E}"/>
    <cellStyle name="Normal 2 4 2 5" xfId="293" xr:uid="{00000000-0005-0000-0000-0000860F0000}"/>
    <cellStyle name="Normal 2 4 2 5 10" xfId="9795" xr:uid="{99534317-C78A-4D66-A277-1BEA27D3CB19}"/>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2 2 2" xfId="16572" xr:uid="{A0E960F3-9111-4929-AB91-026D333C4DBD}"/>
    <cellStyle name="Normal 2 4 2 5 2 2 2 3" xfId="12355" xr:uid="{4D62E8A8-4A2B-4850-9FF9-8A783FC0A1DC}"/>
    <cellStyle name="Normal 2 4 2 5 2 2 3" xfId="5101" xr:uid="{00000000-0005-0000-0000-00008B0F0000}"/>
    <cellStyle name="Normal 2 4 2 5 2 2 3 2" xfId="14427" xr:uid="{8CFF9D3E-2C99-42A5-92BB-1A788E293223}"/>
    <cellStyle name="Normal 2 4 2 5 2 2 4" xfId="9492" xr:uid="{07DC9204-2F52-408E-80EE-617A106DD9FD}"/>
    <cellStyle name="Normal 2 4 2 5 2 2 4 2" xfId="18807" xr:uid="{08CDACD2-C177-4EC7-A5D9-012B9A9C409E}"/>
    <cellStyle name="Normal 2 4 2 5 2 2 5" xfId="10210" xr:uid="{02326474-052C-4028-AC0F-3C966E17003F}"/>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2 2 2" xfId="16985" xr:uid="{288EA824-578D-4B74-B88B-645A8212E375}"/>
    <cellStyle name="Normal 2 4 2 5 2 3 2 3" xfId="12768" xr:uid="{57E51950-20FD-4750-AE96-7D1DD99FD939}"/>
    <cellStyle name="Normal 2 4 2 5 2 3 3" xfId="5514" xr:uid="{00000000-0005-0000-0000-00008F0F0000}"/>
    <cellStyle name="Normal 2 4 2 5 2 3 3 2" xfId="14840" xr:uid="{E06F86E9-E279-4575-A7DE-237BB6C4085D}"/>
    <cellStyle name="Normal 2 4 2 5 2 3 4" xfId="10623" xr:uid="{AF42AE2B-01A2-487B-BA35-01E3C33CAA5A}"/>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2 2 2" xfId="17398" xr:uid="{2470DE0C-4BFE-43E4-A09D-9CB1215D7C7C}"/>
    <cellStyle name="Normal 2 4 2 5 2 4 2 3" xfId="13181" xr:uid="{E7B7AE51-269D-4D29-8183-560C11502B71}"/>
    <cellStyle name="Normal 2 4 2 5 2 4 3" xfId="5927" xr:uid="{00000000-0005-0000-0000-0000930F0000}"/>
    <cellStyle name="Normal 2 4 2 5 2 4 3 2" xfId="15253" xr:uid="{C41E81D7-D4E5-4AE2-9CDC-FD39B7E96F8D}"/>
    <cellStyle name="Normal 2 4 2 5 2 4 4" xfId="11036" xr:uid="{08D2A77E-20ED-42D7-92C8-6CA65925F3DC}"/>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2 2 2" xfId="17811" xr:uid="{ED22EB6A-2A41-4C48-B60A-0154CE759E0C}"/>
    <cellStyle name="Normal 2 4 2 5 2 5 2 3" xfId="13594" xr:uid="{AD287CA8-F43A-4D20-9AC4-618625328059}"/>
    <cellStyle name="Normal 2 4 2 5 2 5 3" xfId="6340" xr:uid="{00000000-0005-0000-0000-0000970F0000}"/>
    <cellStyle name="Normal 2 4 2 5 2 5 3 2" xfId="15666" xr:uid="{4EDF5C87-84DE-4F6B-85F3-14693CAB5F58}"/>
    <cellStyle name="Normal 2 4 2 5 2 5 4" xfId="11449" xr:uid="{F6212342-48AC-4D57-951F-E84566416626}"/>
    <cellStyle name="Normal 2 4 2 5 2 6" xfId="2470" xr:uid="{00000000-0005-0000-0000-0000980F0000}"/>
    <cellStyle name="Normal 2 4 2 5 2 6 2" xfId="6753" xr:uid="{00000000-0005-0000-0000-0000990F0000}"/>
    <cellStyle name="Normal 2 4 2 5 2 6 2 2" xfId="16079" xr:uid="{26C47928-7FAA-4027-80A4-A17C9452ED3F}"/>
    <cellStyle name="Normal 2 4 2 5 2 6 3" xfId="11862" xr:uid="{C61247F1-7B6C-4297-91BF-5E97B6D8C7D3}"/>
    <cellStyle name="Normal 2 4 2 5 2 7" xfId="4687" xr:uid="{00000000-0005-0000-0000-00009A0F0000}"/>
    <cellStyle name="Normal 2 4 2 5 2 7 2" xfId="14013" xr:uid="{9556518F-E315-4235-85F4-63BC10413881}"/>
    <cellStyle name="Normal 2 4 2 5 2 8" xfId="9067" xr:uid="{89D5CB5A-ADE0-44B8-BC1E-FDE984B579C9}"/>
    <cellStyle name="Normal 2 4 2 5 2 8 2" xfId="18391" xr:uid="{FFF05CBC-C9FE-4785-8532-16DCFF69B320}"/>
    <cellStyle name="Normal 2 4 2 5 2 9" xfId="9796" xr:uid="{EFE5E6FE-AB4E-4D26-B089-B25340C63A45}"/>
    <cellStyle name="Normal 2 4 2 5 3" xfId="784" xr:uid="{00000000-0005-0000-0000-00009B0F0000}"/>
    <cellStyle name="Normal 2 4 2 5 3 2" xfId="3023" xr:uid="{00000000-0005-0000-0000-00009C0F0000}"/>
    <cellStyle name="Normal 2 4 2 5 3 2 2" xfId="7245" xr:uid="{00000000-0005-0000-0000-00009D0F0000}"/>
    <cellStyle name="Normal 2 4 2 5 3 2 2 2" xfId="16571" xr:uid="{B568DFC9-C455-40F5-B36D-733724061BEE}"/>
    <cellStyle name="Normal 2 4 2 5 3 2 3" xfId="12354" xr:uid="{D131BC15-2378-4C8D-B97F-1CF34440FEE6}"/>
    <cellStyle name="Normal 2 4 2 5 3 3" xfId="5100" xr:uid="{00000000-0005-0000-0000-00009E0F0000}"/>
    <cellStyle name="Normal 2 4 2 5 3 3 2" xfId="14426" xr:uid="{6521EFEE-EA11-4FC6-B435-C76CDF5B2AD4}"/>
    <cellStyle name="Normal 2 4 2 5 3 4" xfId="9285" xr:uid="{5DA39FB9-904E-46D3-8E24-58BF2F19DA5B}"/>
    <cellStyle name="Normal 2 4 2 5 3 4 2" xfId="18600" xr:uid="{69A8592D-309C-4142-AE51-89DD790E173B}"/>
    <cellStyle name="Normal 2 4 2 5 3 5" xfId="10209" xr:uid="{4D42434F-2BFE-45C1-97A5-6B52D57052DE}"/>
    <cellStyle name="Normal 2 4 2 5 4" xfId="1206" xr:uid="{00000000-0005-0000-0000-00009F0F0000}"/>
    <cellStyle name="Normal 2 4 2 5 4 2" xfId="3436" xr:uid="{00000000-0005-0000-0000-0000A00F0000}"/>
    <cellStyle name="Normal 2 4 2 5 4 2 2" xfId="7658" xr:uid="{00000000-0005-0000-0000-0000A10F0000}"/>
    <cellStyle name="Normal 2 4 2 5 4 2 2 2" xfId="16984" xr:uid="{B203D03A-8CB7-43EC-A3AF-7B8FC1689A4F}"/>
    <cellStyle name="Normal 2 4 2 5 4 2 3" xfId="12767" xr:uid="{35ADAB3C-B600-4A80-A182-9E89CA1AC45E}"/>
    <cellStyle name="Normal 2 4 2 5 4 3" xfId="5513" xr:uid="{00000000-0005-0000-0000-0000A20F0000}"/>
    <cellStyle name="Normal 2 4 2 5 4 3 2" xfId="14839" xr:uid="{F322B1C0-ED33-48CA-86E2-63FDCDD44FB8}"/>
    <cellStyle name="Normal 2 4 2 5 4 4" xfId="10622" xr:uid="{346A86FE-549E-4EF1-8FD6-3D8AA5CEBB2A}"/>
    <cellStyle name="Normal 2 4 2 5 5" xfId="1619" xr:uid="{00000000-0005-0000-0000-0000A30F0000}"/>
    <cellStyle name="Normal 2 4 2 5 5 2" xfId="3849" xr:uid="{00000000-0005-0000-0000-0000A40F0000}"/>
    <cellStyle name="Normal 2 4 2 5 5 2 2" xfId="8071" xr:uid="{00000000-0005-0000-0000-0000A50F0000}"/>
    <cellStyle name="Normal 2 4 2 5 5 2 2 2" xfId="17397" xr:uid="{52CFF126-EC38-4978-8256-9F9476579A63}"/>
    <cellStyle name="Normal 2 4 2 5 5 2 3" xfId="13180" xr:uid="{778A8D96-1AB2-4285-B61C-0E5A4D7B44EE}"/>
    <cellStyle name="Normal 2 4 2 5 5 3" xfId="5926" xr:uid="{00000000-0005-0000-0000-0000A60F0000}"/>
    <cellStyle name="Normal 2 4 2 5 5 3 2" xfId="15252" xr:uid="{4DB07832-50B3-4AE0-BD75-C58511640EDE}"/>
    <cellStyle name="Normal 2 4 2 5 5 4" xfId="11035" xr:uid="{9E9A76C5-8D51-40B3-AC9A-3F7F7F93D870}"/>
    <cellStyle name="Normal 2 4 2 5 6" xfId="2033" xr:uid="{00000000-0005-0000-0000-0000A70F0000}"/>
    <cellStyle name="Normal 2 4 2 5 6 2" xfId="4262" xr:uid="{00000000-0005-0000-0000-0000A80F0000}"/>
    <cellStyle name="Normal 2 4 2 5 6 2 2" xfId="8484" xr:uid="{00000000-0005-0000-0000-0000A90F0000}"/>
    <cellStyle name="Normal 2 4 2 5 6 2 2 2" xfId="17810" xr:uid="{24B163D6-E70E-453C-AE3F-519D15C8152B}"/>
    <cellStyle name="Normal 2 4 2 5 6 2 3" xfId="13593" xr:uid="{7CEDFE76-A2EF-45A2-9A41-E469CEBF7B20}"/>
    <cellStyle name="Normal 2 4 2 5 6 3" xfId="6339" xr:uid="{00000000-0005-0000-0000-0000AA0F0000}"/>
    <cellStyle name="Normal 2 4 2 5 6 3 2" xfId="15665" xr:uid="{DC01BC71-9D0D-421F-B617-67A3E7BE139D}"/>
    <cellStyle name="Normal 2 4 2 5 6 4" xfId="11448" xr:uid="{22AEA520-A028-4075-83A1-B50A19627C7E}"/>
    <cellStyle name="Normal 2 4 2 5 7" xfId="2469" xr:uid="{00000000-0005-0000-0000-0000AB0F0000}"/>
    <cellStyle name="Normal 2 4 2 5 7 2" xfId="6752" xr:uid="{00000000-0005-0000-0000-0000AC0F0000}"/>
    <cellStyle name="Normal 2 4 2 5 7 2 2" xfId="16078" xr:uid="{44C64FEB-E6E8-404A-A7EB-BF719CD2C994}"/>
    <cellStyle name="Normal 2 4 2 5 7 3" xfId="11861" xr:uid="{5C8AAEBD-F558-44F1-A252-729EF3933E1B}"/>
    <cellStyle name="Normal 2 4 2 5 8" xfId="4686" xr:uid="{00000000-0005-0000-0000-0000AD0F0000}"/>
    <cellStyle name="Normal 2 4 2 5 8 2" xfId="14012" xr:uid="{B090AB6E-5785-4262-9E29-011A1E974994}"/>
    <cellStyle name="Normal 2 4 2 5 9" xfId="8860" xr:uid="{5FAFEFC0-3249-464B-9F12-2B1DA137C588}"/>
    <cellStyle name="Normal 2 4 2 5 9 2" xfId="18184" xr:uid="{8CA9F354-D990-47C3-9469-CBE0F35D2BF6}"/>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2 2 2" xfId="16573" xr:uid="{CD82CB1B-8D51-49E9-9566-9544C308903D}"/>
    <cellStyle name="Normal 2 4 2 6 2 2 3" xfId="12356" xr:uid="{64DC8DA0-33DC-4C0D-980D-93DE2C3DC1A6}"/>
    <cellStyle name="Normal 2 4 2 6 2 3" xfId="5102" xr:uid="{00000000-0005-0000-0000-0000B20F0000}"/>
    <cellStyle name="Normal 2 4 2 6 2 3 2" xfId="14428" xr:uid="{503B0395-C7B8-4145-9E7B-4C9B1EE1E667}"/>
    <cellStyle name="Normal 2 4 2 6 2 4" xfId="9401" xr:uid="{C89DD342-23DD-474B-84C5-F9DED42F169B}"/>
    <cellStyle name="Normal 2 4 2 6 2 4 2" xfId="18716" xr:uid="{417AC9BA-D156-400F-AC3A-633F5228DD0F}"/>
    <cellStyle name="Normal 2 4 2 6 2 5" xfId="10211" xr:uid="{A718D80F-FC84-47D3-8A1F-62BCE445ECC4}"/>
    <cellStyle name="Normal 2 4 2 6 3" xfId="1208" xr:uid="{00000000-0005-0000-0000-0000B30F0000}"/>
    <cellStyle name="Normal 2 4 2 6 3 2" xfId="3438" xr:uid="{00000000-0005-0000-0000-0000B40F0000}"/>
    <cellStyle name="Normal 2 4 2 6 3 2 2" xfId="7660" xr:uid="{00000000-0005-0000-0000-0000B50F0000}"/>
    <cellStyle name="Normal 2 4 2 6 3 2 2 2" xfId="16986" xr:uid="{24DEEF76-F1BC-4F8B-AF32-C3BEEEEECD20}"/>
    <cellStyle name="Normal 2 4 2 6 3 2 3" xfId="12769" xr:uid="{7FC18A34-F022-40C6-8540-8F0DBC9CEF37}"/>
    <cellStyle name="Normal 2 4 2 6 3 3" xfId="5515" xr:uid="{00000000-0005-0000-0000-0000B60F0000}"/>
    <cellStyle name="Normal 2 4 2 6 3 3 2" xfId="14841" xr:uid="{9FB45DA0-2A13-4A89-97A9-DA70CCC396DE}"/>
    <cellStyle name="Normal 2 4 2 6 3 4" xfId="10624" xr:uid="{2D48C731-50D3-444B-AF1F-7B2D7CE13201}"/>
    <cellStyle name="Normal 2 4 2 6 4" xfId="1621" xr:uid="{00000000-0005-0000-0000-0000B70F0000}"/>
    <cellStyle name="Normal 2 4 2 6 4 2" xfId="3851" xr:uid="{00000000-0005-0000-0000-0000B80F0000}"/>
    <cellStyle name="Normal 2 4 2 6 4 2 2" xfId="8073" xr:uid="{00000000-0005-0000-0000-0000B90F0000}"/>
    <cellStyle name="Normal 2 4 2 6 4 2 2 2" xfId="17399" xr:uid="{E59CEAEE-E3DB-4579-897C-407FF620961D}"/>
    <cellStyle name="Normal 2 4 2 6 4 2 3" xfId="13182" xr:uid="{A6F1D120-B82E-4186-AF1B-81E1D60C8F5B}"/>
    <cellStyle name="Normal 2 4 2 6 4 3" xfId="5928" xr:uid="{00000000-0005-0000-0000-0000BA0F0000}"/>
    <cellStyle name="Normal 2 4 2 6 4 3 2" xfId="15254" xr:uid="{C849F071-1B57-49AE-ADC1-DDFBA8A127B6}"/>
    <cellStyle name="Normal 2 4 2 6 4 4" xfId="11037" xr:uid="{891C21F6-718E-49EC-B08A-FCA4E57DFC2C}"/>
    <cellStyle name="Normal 2 4 2 6 5" xfId="2035" xr:uid="{00000000-0005-0000-0000-0000BB0F0000}"/>
    <cellStyle name="Normal 2 4 2 6 5 2" xfId="4264" xr:uid="{00000000-0005-0000-0000-0000BC0F0000}"/>
    <cellStyle name="Normal 2 4 2 6 5 2 2" xfId="8486" xr:uid="{00000000-0005-0000-0000-0000BD0F0000}"/>
    <cellStyle name="Normal 2 4 2 6 5 2 2 2" xfId="17812" xr:uid="{32545AA9-72C1-42DC-A11B-CBB936CBB393}"/>
    <cellStyle name="Normal 2 4 2 6 5 2 3" xfId="13595" xr:uid="{BA0B498C-0E09-4B9E-8990-AF64486F8741}"/>
    <cellStyle name="Normal 2 4 2 6 5 3" xfId="6341" xr:uid="{00000000-0005-0000-0000-0000BE0F0000}"/>
    <cellStyle name="Normal 2 4 2 6 5 3 2" xfId="15667" xr:uid="{BD9CF1C9-526D-4E3F-82C7-5921E35809FA}"/>
    <cellStyle name="Normal 2 4 2 6 5 4" xfId="11450" xr:uid="{1CE93B40-AF21-4016-9A04-4871AB0B04EF}"/>
    <cellStyle name="Normal 2 4 2 6 6" xfId="2471" xr:uid="{00000000-0005-0000-0000-0000BF0F0000}"/>
    <cellStyle name="Normal 2 4 2 6 6 2" xfId="6754" xr:uid="{00000000-0005-0000-0000-0000C00F0000}"/>
    <cellStyle name="Normal 2 4 2 6 6 2 2" xfId="16080" xr:uid="{47808C85-3F54-4B3D-8876-F412AABEF5BE}"/>
    <cellStyle name="Normal 2 4 2 6 6 3" xfId="11863" xr:uid="{A910F6E6-DE8D-4845-AC03-495017B51448}"/>
    <cellStyle name="Normal 2 4 2 6 7" xfId="4688" xr:uid="{00000000-0005-0000-0000-0000C10F0000}"/>
    <cellStyle name="Normal 2 4 2 6 7 2" xfId="14014" xr:uid="{9423BB35-E6F4-48CE-ACCC-826FFF193C40}"/>
    <cellStyle name="Normal 2 4 2 6 8" xfId="8976" xr:uid="{6DEAFF8C-68CB-4364-A161-479509F453AE}"/>
    <cellStyle name="Normal 2 4 2 6 8 2" xfId="18300" xr:uid="{C172ED81-C440-4FD9-8ADD-68AF829262EB}"/>
    <cellStyle name="Normal 2 4 2 6 9" xfId="9797" xr:uid="{A2B4E7A7-A538-4D65-B9C8-C4FA16E851C0}"/>
    <cellStyle name="Normal 2 4 2 7" xfId="771" xr:uid="{00000000-0005-0000-0000-0000C20F0000}"/>
    <cellStyle name="Normal 2 4 2 7 2" xfId="3010" xr:uid="{00000000-0005-0000-0000-0000C30F0000}"/>
    <cellStyle name="Normal 2 4 2 7 2 2" xfId="7232" xr:uid="{00000000-0005-0000-0000-0000C40F0000}"/>
    <cellStyle name="Normal 2 4 2 7 2 2 2" xfId="16558" xr:uid="{06A6ECAF-DF6C-423D-8016-C3C130CB8CE9}"/>
    <cellStyle name="Normal 2 4 2 7 2 3" xfId="12341" xr:uid="{EE0BE323-B5A9-497B-BAE8-7112113A7BE7}"/>
    <cellStyle name="Normal 2 4 2 7 3" xfId="5087" xr:uid="{00000000-0005-0000-0000-0000C50F0000}"/>
    <cellStyle name="Normal 2 4 2 7 3 2" xfId="14413" xr:uid="{1F26D708-91C0-4ABA-A41B-BD8F089C1459}"/>
    <cellStyle name="Normal 2 4 2 7 4" xfId="9179" xr:uid="{D1C44CED-398E-43B3-AFA3-1E7DC60C5D92}"/>
    <cellStyle name="Normal 2 4 2 7 4 2" xfId="18497" xr:uid="{CFE49C26-FC00-451A-86C2-2C707E59A172}"/>
    <cellStyle name="Normal 2 4 2 7 5" xfId="10196" xr:uid="{D996880D-6578-46C4-979B-32306BA69D1D}"/>
    <cellStyle name="Normal 2 4 2 8" xfId="1193" xr:uid="{00000000-0005-0000-0000-0000C60F0000}"/>
    <cellStyle name="Normal 2 4 2 8 2" xfId="3423" xr:uid="{00000000-0005-0000-0000-0000C70F0000}"/>
    <cellStyle name="Normal 2 4 2 8 2 2" xfId="7645" xr:uid="{00000000-0005-0000-0000-0000C80F0000}"/>
    <cellStyle name="Normal 2 4 2 8 2 2 2" xfId="16971" xr:uid="{A805BBE1-4D91-4879-B6AE-E738A806DD37}"/>
    <cellStyle name="Normal 2 4 2 8 2 3" xfId="12754" xr:uid="{B80EB794-02BD-4287-8DAF-1E625F926F43}"/>
    <cellStyle name="Normal 2 4 2 8 3" xfId="5500" xr:uid="{00000000-0005-0000-0000-0000C90F0000}"/>
    <cellStyle name="Normal 2 4 2 8 3 2" xfId="14826" xr:uid="{216DB5EA-967F-4B64-8F44-816C9E1F15F6}"/>
    <cellStyle name="Normal 2 4 2 8 4" xfId="10609" xr:uid="{63134D2B-1615-4498-BA57-07D4DE7A8034}"/>
    <cellStyle name="Normal 2 4 2 9" xfId="1606" xr:uid="{00000000-0005-0000-0000-0000CA0F0000}"/>
    <cellStyle name="Normal 2 4 2 9 2" xfId="3836" xr:uid="{00000000-0005-0000-0000-0000CB0F0000}"/>
    <cellStyle name="Normal 2 4 2 9 2 2" xfId="8058" xr:uid="{00000000-0005-0000-0000-0000CC0F0000}"/>
    <cellStyle name="Normal 2 4 2 9 2 2 2" xfId="17384" xr:uid="{75667FEF-B722-4058-B855-0587A8DE2D63}"/>
    <cellStyle name="Normal 2 4 2 9 2 3" xfId="13167" xr:uid="{808A1EB2-74A6-4555-B804-D8ABE7F3333E}"/>
    <cellStyle name="Normal 2 4 2 9 3" xfId="5913" xr:uid="{00000000-0005-0000-0000-0000CD0F0000}"/>
    <cellStyle name="Normal 2 4 2 9 3 2" xfId="15239" xr:uid="{887B076D-2706-4B5B-A726-47A2F6523C87}"/>
    <cellStyle name="Normal 2 4 2 9 4" xfId="11022" xr:uid="{0D8EBAFC-AB28-4CA3-AABB-D2371F0B701A}"/>
    <cellStyle name="Normal 2 4 3" xfId="296" xr:uid="{00000000-0005-0000-0000-0000CE0F0000}"/>
    <cellStyle name="Normal 2 4 3 10" xfId="9798" xr:uid="{CB1111EC-72F0-4280-A45C-ED7D7C14FE64}"/>
    <cellStyle name="Normal 2 4 3 2" xfId="297" xr:uid="{00000000-0005-0000-0000-0000CF0F0000}"/>
    <cellStyle name="Normal 2 4 3 3" xfId="298" xr:uid="{00000000-0005-0000-0000-0000D00F0000}"/>
    <cellStyle name="Normal 2 4 3 3 10" xfId="8814" xr:uid="{F78EFD99-FCC5-4915-ACA3-DFC3FC0D45A5}"/>
    <cellStyle name="Normal 2 4 3 3 10 2" xfId="18138" xr:uid="{497EB1A8-7C3E-47E9-A247-20129752C563}"/>
    <cellStyle name="Normal 2 4 3 3 11" xfId="9799" xr:uid="{995BA01C-1688-4AAD-9111-0BB0EAFE7349}"/>
    <cellStyle name="Normal 2 4 3 3 2" xfId="299" xr:uid="{00000000-0005-0000-0000-0000D10F0000}"/>
    <cellStyle name="Normal 2 4 3 3 2 10" xfId="9800" xr:uid="{96EA1A1E-3C31-492B-B4EB-AA84EE11477A}"/>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2 2 2" xfId="16577" xr:uid="{BAE34667-4171-424B-865E-EA36896E9283}"/>
    <cellStyle name="Normal 2 4 3 3 2 2 2 2 3" xfId="12360" xr:uid="{E35501B7-15A8-4368-A49B-DAA7590ED92E}"/>
    <cellStyle name="Normal 2 4 3 3 2 2 2 3" xfId="5106" xr:uid="{00000000-0005-0000-0000-0000D60F0000}"/>
    <cellStyle name="Normal 2 4 3 3 2 2 2 3 2" xfId="14432" xr:uid="{508A7FC5-7D4A-476A-A924-881AF1B3C3BB}"/>
    <cellStyle name="Normal 2 4 3 3 2 2 2 4" xfId="9549" xr:uid="{EA88B7BC-E37D-4688-A768-0D7FE5EF9F42}"/>
    <cellStyle name="Normal 2 4 3 3 2 2 2 4 2" xfId="18864" xr:uid="{56C055DF-18AD-4585-9E8B-DA23EA2F3D19}"/>
    <cellStyle name="Normal 2 4 3 3 2 2 2 5" xfId="10215" xr:uid="{FCFC8127-0F04-41B4-9184-4C3894FE3779}"/>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2 2 2" xfId="16990" xr:uid="{F58EF5AB-164A-4468-B7A8-7ADFD4E30B36}"/>
    <cellStyle name="Normal 2 4 3 3 2 2 3 2 3" xfId="12773" xr:uid="{7CD79772-428E-4AED-9938-39DD19449638}"/>
    <cellStyle name="Normal 2 4 3 3 2 2 3 3" xfId="5519" xr:uid="{00000000-0005-0000-0000-0000DA0F0000}"/>
    <cellStyle name="Normal 2 4 3 3 2 2 3 3 2" xfId="14845" xr:uid="{A92A0524-3B4E-40C2-BFF3-D4C3D15EB25A}"/>
    <cellStyle name="Normal 2 4 3 3 2 2 3 4" xfId="10628" xr:uid="{8FE2F886-2EF7-47B3-8CB5-259CE4254DD5}"/>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2 2 2" xfId="17403" xr:uid="{65BECB53-8E2E-42CF-ACB9-186177AC61DA}"/>
    <cellStyle name="Normal 2 4 3 3 2 2 4 2 3" xfId="13186" xr:uid="{EAF7811E-DDA2-4DCE-A6EC-55BB68C750BF}"/>
    <cellStyle name="Normal 2 4 3 3 2 2 4 3" xfId="5932" xr:uid="{00000000-0005-0000-0000-0000DE0F0000}"/>
    <cellStyle name="Normal 2 4 3 3 2 2 4 3 2" xfId="15258" xr:uid="{F071491A-077C-426D-95C8-446BEA8C4154}"/>
    <cellStyle name="Normal 2 4 3 3 2 2 4 4" xfId="11041" xr:uid="{C9091671-1C35-4364-AD72-86A4142EE341}"/>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2 2 2" xfId="17816" xr:uid="{446E0FCF-A282-4BC5-9B0C-D3F665A6B6B5}"/>
    <cellStyle name="Normal 2 4 3 3 2 2 5 2 3" xfId="13599" xr:uid="{E26EBE36-CA79-4B47-83F9-18BB6F38840F}"/>
    <cellStyle name="Normal 2 4 3 3 2 2 5 3" xfId="6345" xr:uid="{00000000-0005-0000-0000-0000E20F0000}"/>
    <cellStyle name="Normal 2 4 3 3 2 2 5 3 2" xfId="15671" xr:uid="{EA260023-2557-4031-B4A3-A5F9DF890B4B}"/>
    <cellStyle name="Normal 2 4 3 3 2 2 5 4" xfId="11454" xr:uid="{A99CAC30-2E30-4129-BAE2-20234E193F3F}"/>
    <cellStyle name="Normal 2 4 3 3 2 2 6" xfId="2475" xr:uid="{00000000-0005-0000-0000-0000E30F0000}"/>
    <cellStyle name="Normal 2 4 3 3 2 2 6 2" xfId="6758" xr:uid="{00000000-0005-0000-0000-0000E40F0000}"/>
    <cellStyle name="Normal 2 4 3 3 2 2 6 2 2" xfId="16084" xr:uid="{B8485652-F341-4848-AC50-20C877414B14}"/>
    <cellStyle name="Normal 2 4 3 3 2 2 6 3" xfId="11867" xr:uid="{5C780855-A78A-427C-A190-D0EB52444C38}"/>
    <cellStyle name="Normal 2 4 3 3 2 2 7" xfId="4692" xr:uid="{00000000-0005-0000-0000-0000E50F0000}"/>
    <cellStyle name="Normal 2 4 3 3 2 2 7 2" xfId="14018" xr:uid="{51BFAD83-278F-481F-852D-C66A8F9B18E6}"/>
    <cellStyle name="Normal 2 4 3 3 2 2 8" xfId="9124" xr:uid="{1FF2B195-09C8-4D7B-A363-E8AF809A669B}"/>
    <cellStyle name="Normal 2 4 3 3 2 2 8 2" xfId="18448" xr:uid="{C349C90A-4F61-4F92-AA99-EB27FD5D77D6}"/>
    <cellStyle name="Normal 2 4 3 3 2 2 9" xfId="9801" xr:uid="{F17A3F0F-FE9D-4B55-BE69-F03D21BD7321}"/>
    <cellStyle name="Normal 2 4 3 3 2 3" xfId="789" xr:uid="{00000000-0005-0000-0000-0000E60F0000}"/>
    <cellStyle name="Normal 2 4 3 3 2 3 2" xfId="3028" xr:uid="{00000000-0005-0000-0000-0000E70F0000}"/>
    <cellStyle name="Normal 2 4 3 3 2 3 2 2" xfId="7250" xr:uid="{00000000-0005-0000-0000-0000E80F0000}"/>
    <cellStyle name="Normal 2 4 3 3 2 3 2 2 2" xfId="16576" xr:uid="{BFD1AB96-5F31-4477-BF4D-B0281B531FB6}"/>
    <cellStyle name="Normal 2 4 3 3 2 3 2 3" xfId="12359" xr:uid="{4F915A25-09A8-43CC-8A70-0EC1D58B1293}"/>
    <cellStyle name="Normal 2 4 3 3 2 3 3" xfId="5105" xr:uid="{00000000-0005-0000-0000-0000E90F0000}"/>
    <cellStyle name="Normal 2 4 3 3 2 3 3 2" xfId="14431" xr:uid="{B28CC15D-84CC-4607-A404-FA8DC7424036}"/>
    <cellStyle name="Normal 2 4 3 3 2 3 4" xfId="9342" xr:uid="{41454CF9-47C1-4E8A-868A-8F39341308EB}"/>
    <cellStyle name="Normal 2 4 3 3 2 3 4 2" xfId="18657" xr:uid="{D723C223-F98A-45B8-9242-B6854E2693B7}"/>
    <cellStyle name="Normal 2 4 3 3 2 3 5" xfId="10214" xr:uid="{558A437F-E727-4E43-B4D8-922794461260}"/>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2 2 2" xfId="16989" xr:uid="{41A7DB7B-E41F-43FA-AC4B-2FC255942BAC}"/>
    <cellStyle name="Normal 2 4 3 3 2 4 2 3" xfId="12772" xr:uid="{59EB35D4-50D0-4AEF-AF2A-7426E8CFE807}"/>
    <cellStyle name="Normal 2 4 3 3 2 4 3" xfId="5518" xr:uid="{00000000-0005-0000-0000-0000ED0F0000}"/>
    <cellStyle name="Normal 2 4 3 3 2 4 3 2" xfId="14844" xr:uid="{3A9176E4-7AEF-42FE-89AD-2BFFB9A41706}"/>
    <cellStyle name="Normal 2 4 3 3 2 4 4" xfId="10627" xr:uid="{2D91A095-CC7B-467E-AE0C-F48D818D0ABA}"/>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2 2 2" xfId="17402" xr:uid="{35FB0306-9DD6-4B9A-81D2-BDE89A8E72D6}"/>
    <cellStyle name="Normal 2 4 3 3 2 5 2 3" xfId="13185" xr:uid="{20D478DA-60B3-4791-A6C4-2C8B4929B465}"/>
    <cellStyle name="Normal 2 4 3 3 2 5 3" xfId="5931" xr:uid="{00000000-0005-0000-0000-0000F10F0000}"/>
    <cellStyle name="Normal 2 4 3 3 2 5 3 2" xfId="15257" xr:uid="{7089080C-819F-4ECA-ADFD-2F455FC9D598}"/>
    <cellStyle name="Normal 2 4 3 3 2 5 4" xfId="11040" xr:uid="{38CEE98D-DAEF-4C76-BEF0-3ACAD282F9E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2 2 2" xfId="17815" xr:uid="{B494F4BE-EB1E-4BDA-A027-D5F5F8C61498}"/>
    <cellStyle name="Normal 2 4 3 3 2 6 2 3" xfId="13598" xr:uid="{5CC373C5-B5E1-441F-9C0F-A10E87BD8DDC}"/>
    <cellStyle name="Normal 2 4 3 3 2 6 3" xfId="6344" xr:uid="{00000000-0005-0000-0000-0000F50F0000}"/>
    <cellStyle name="Normal 2 4 3 3 2 6 3 2" xfId="15670" xr:uid="{A66FE481-1F1B-4F90-9A1B-6AB67D8310F0}"/>
    <cellStyle name="Normal 2 4 3 3 2 6 4" xfId="11453" xr:uid="{D0B4599D-2396-415D-8B95-E8D42EEFB897}"/>
    <cellStyle name="Normal 2 4 3 3 2 7" xfId="2474" xr:uid="{00000000-0005-0000-0000-0000F60F0000}"/>
    <cellStyle name="Normal 2 4 3 3 2 7 2" xfId="6757" xr:uid="{00000000-0005-0000-0000-0000F70F0000}"/>
    <cellStyle name="Normal 2 4 3 3 2 7 2 2" xfId="16083" xr:uid="{A0DAC662-1DD0-4DD4-B9C0-7609EC8CE0E0}"/>
    <cellStyle name="Normal 2 4 3 3 2 7 3" xfId="11866" xr:uid="{F5492EA4-47A5-4380-BB49-A36A9D4E462A}"/>
    <cellStyle name="Normal 2 4 3 3 2 8" xfId="4691" xr:uid="{00000000-0005-0000-0000-0000F80F0000}"/>
    <cellStyle name="Normal 2 4 3 3 2 8 2" xfId="14017" xr:uid="{47BA3BBD-7983-42E8-98CD-5D1C21BFE940}"/>
    <cellStyle name="Normal 2 4 3 3 2 9" xfId="8917" xr:uid="{1E22693C-F4B1-4678-80B0-65CF6DC31586}"/>
    <cellStyle name="Normal 2 4 3 3 2 9 2" xfId="18241" xr:uid="{C75F2944-4FF3-48EB-8A76-C1E96A3A1BE5}"/>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2 2 2" xfId="16578" xr:uid="{FD5E5740-DCE8-461D-A567-41027BE760B8}"/>
    <cellStyle name="Normal 2 4 3 3 3 2 2 3" xfId="12361" xr:uid="{CE1F9831-8D63-4069-A1B1-2BB61DEC0B0E}"/>
    <cellStyle name="Normal 2 4 3 3 3 2 3" xfId="5107" xr:uid="{00000000-0005-0000-0000-0000FD0F0000}"/>
    <cellStyle name="Normal 2 4 3 3 3 2 3 2" xfId="14433" xr:uid="{F8A4A99D-92A9-4F7B-B24C-2C5C6E2199C0}"/>
    <cellStyle name="Normal 2 4 3 3 3 2 4" xfId="9446" xr:uid="{7ACDBBC8-943F-41CF-9832-96F56BCB3985}"/>
    <cellStyle name="Normal 2 4 3 3 3 2 4 2" xfId="18761" xr:uid="{867D6240-EE8A-418B-A29A-0FB9627976C8}"/>
    <cellStyle name="Normal 2 4 3 3 3 2 5" xfId="10216" xr:uid="{54BDB6B8-B603-4B74-81E9-D00FE60939B1}"/>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2 2 2" xfId="16991" xr:uid="{11CE1DE4-9DCD-47A7-B6A0-DB7D2BEB8E57}"/>
    <cellStyle name="Normal 2 4 3 3 3 3 2 3" xfId="12774" xr:uid="{7CDF0897-94D9-42A3-BE06-7D751F98BF74}"/>
    <cellStyle name="Normal 2 4 3 3 3 3 3" xfId="5520" xr:uid="{00000000-0005-0000-0000-000001100000}"/>
    <cellStyle name="Normal 2 4 3 3 3 3 3 2" xfId="14846" xr:uid="{6C8C7E24-9AFA-4553-A522-2F79EC1A600B}"/>
    <cellStyle name="Normal 2 4 3 3 3 3 4" xfId="10629" xr:uid="{00CCACE0-324B-46A2-9362-7405447B16B4}"/>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2 2 2" xfId="17404" xr:uid="{61250727-1DC1-47BD-904F-A882A31DA07F}"/>
    <cellStyle name="Normal 2 4 3 3 3 4 2 3" xfId="13187" xr:uid="{9FEBA515-3255-47F2-A759-C072B0E90ECB}"/>
    <cellStyle name="Normal 2 4 3 3 3 4 3" xfId="5933" xr:uid="{00000000-0005-0000-0000-000005100000}"/>
    <cellStyle name="Normal 2 4 3 3 3 4 3 2" xfId="15259" xr:uid="{CBCA127A-CA4F-4B76-88E1-38B744175644}"/>
    <cellStyle name="Normal 2 4 3 3 3 4 4" xfId="11042" xr:uid="{54F58420-C629-4810-862F-BA2E2F9C96AB}"/>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2 2 2" xfId="17817" xr:uid="{D35FD986-B28B-4EF1-935E-401A8B25455F}"/>
    <cellStyle name="Normal 2 4 3 3 3 5 2 3" xfId="13600" xr:uid="{A580D228-762E-446C-8BAB-AB089E1983ED}"/>
    <cellStyle name="Normal 2 4 3 3 3 5 3" xfId="6346" xr:uid="{00000000-0005-0000-0000-000009100000}"/>
    <cellStyle name="Normal 2 4 3 3 3 5 3 2" xfId="15672" xr:uid="{4D47051C-018C-4C9E-AFE4-07D8D1EB4319}"/>
    <cellStyle name="Normal 2 4 3 3 3 5 4" xfId="11455" xr:uid="{16B04C61-C845-4981-ACCB-2B818ACBB388}"/>
    <cellStyle name="Normal 2 4 3 3 3 6" xfId="2476" xr:uid="{00000000-0005-0000-0000-00000A100000}"/>
    <cellStyle name="Normal 2 4 3 3 3 6 2" xfId="6759" xr:uid="{00000000-0005-0000-0000-00000B100000}"/>
    <cellStyle name="Normal 2 4 3 3 3 6 2 2" xfId="16085" xr:uid="{C11CCEBD-0998-4FE2-A9E7-ED1452B8686D}"/>
    <cellStyle name="Normal 2 4 3 3 3 6 3" xfId="11868" xr:uid="{CB782144-BB0D-4994-AF07-343FD53DADDA}"/>
    <cellStyle name="Normal 2 4 3 3 3 7" xfId="4693" xr:uid="{00000000-0005-0000-0000-00000C100000}"/>
    <cellStyle name="Normal 2 4 3 3 3 7 2" xfId="14019" xr:uid="{EF96B271-030D-44C6-8546-2825EA56956A}"/>
    <cellStyle name="Normal 2 4 3 3 3 8" xfId="9021" xr:uid="{4EC0F035-DC07-4262-9C58-7142AC357944}"/>
    <cellStyle name="Normal 2 4 3 3 3 8 2" xfId="18345" xr:uid="{BDE407B8-2F38-4F1B-83B1-7423560CE5CF}"/>
    <cellStyle name="Normal 2 4 3 3 3 9" xfId="9802" xr:uid="{CA6C23EF-19BC-46F9-8143-252545AAF3AE}"/>
    <cellStyle name="Normal 2 4 3 3 4" xfId="788" xr:uid="{00000000-0005-0000-0000-00000D100000}"/>
    <cellStyle name="Normal 2 4 3 3 4 2" xfId="3027" xr:uid="{00000000-0005-0000-0000-00000E100000}"/>
    <cellStyle name="Normal 2 4 3 3 4 2 2" xfId="7249" xr:uid="{00000000-0005-0000-0000-00000F100000}"/>
    <cellStyle name="Normal 2 4 3 3 4 2 2 2" xfId="16575" xr:uid="{03534F5F-0565-4F85-870E-CD6CC9584508}"/>
    <cellStyle name="Normal 2 4 3 3 4 2 3" xfId="12358" xr:uid="{9EA92310-F625-414A-9509-D46799FCC999}"/>
    <cellStyle name="Normal 2 4 3 3 4 3" xfId="5104" xr:uid="{00000000-0005-0000-0000-000010100000}"/>
    <cellStyle name="Normal 2 4 3 3 4 3 2" xfId="14430" xr:uid="{26DAB5DE-0CB2-4E4E-9EFD-7927A6D7F3C5}"/>
    <cellStyle name="Normal 2 4 3 3 4 4" xfId="9239" xr:uid="{3DCBA9AF-C63D-4CA9-81B6-AC7CB7B67292}"/>
    <cellStyle name="Normal 2 4 3 3 4 4 2" xfId="18554" xr:uid="{90AE447C-BEC2-4314-A906-9C103689CED9}"/>
    <cellStyle name="Normal 2 4 3 3 4 5" xfId="10213" xr:uid="{A123B553-F45A-46CC-A598-B50B86DAE6B3}"/>
    <cellStyle name="Normal 2 4 3 3 5" xfId="1210" xr:uid="{00000000-0005-0000-0000-000011100000}"/>
    <cellStyle name="Normal 2 4 3 3 5 2" xfId="3440" xr:uid="{00000000-0005-0000-0000-000012100000}"/>
    <cellStyle name="Normal 2 4 3 3 5 2 2" xfId="7662" xr:uid="{00000000-0005-0000-0000-000013100000}"/>
    <cellStyle name="Normal 2 4 3 3 5 2 2 2" xfId="16988" xr:uid="{3EB91100-B987-44FE-B0E9-3829D2BD2F70}"/>
    <cellStyle name="Normal 2 4 3 3 5 2 3" xfId="12771" xr:uid="{B16A70FB-B897-426F-9506-73688E6C0D65}"/>
    <cellStyle name="Normal 2 4 3 3 5 3" xfId="5517" xr:uid="{00000000-0005-0000-0000-000014100000}"/>
    <cellStyle name="Normal 2 4 3 3 5 3 2" xfId="14843" xr:uid="{422A99EA-7297-4690-8367-70421C1D9DC8}"/>
    <cellStyle name="Normal 2 4 3 3 5 4" xfId="10626" xr:uid="{DA01D9A0-33E0-4FA3-AC07-48B62B09C6AD}"/>
    <cellStyle name="Normal 2 4 3 3 6" xfId="1623" xr:uid="{00000000-0005-0000-0000-000015100000}"/>
    <cellStyle name="Normal 2 4 3 3 6 2" xfId="3853" xr:uid="{00000000-0005-0000-0000-000016100000}"/>
    <cellStyle name="Normal 2 4 3 3 6 2 2" xfId="8075" xr:uid="{00000000-0005-0000-0000-000017100000}"/>
    <cellStyle name="Normal 2 4 3 3 6 2 2 2" xfId="17401" xr:uid="{D5B5E1BB-22BD-41CD-84B8-A5D64D51D3E2}"/>
    <cellStyle name="Normal 2 4 3 3 6 2 3" xfId="13184" xr:uid="{EA575A32-1BC4-45AD-B284-69CF56CCDFD1}"/>
    <cellStyle name="Normal 2 4 3 3 6 3" xfId="5930" xr:uid="{00000000-0005-0000-0000-000018100000}"/>
    <cellStyle name="Normal 2 4 3 3 6 3 2" xfId="15256" xr:uid="{11CE37B2-91EE-40B0-AD4E-18B8F57978C9}"/>
    <cellStyle name="Normal 2 4 3 3 6 4" xfId="11039" xr:uid="{60690CC0-960C-4A0E-AD93-522659304B46}"/>
    <cellStyle name="Normal 2 4 3 3 7" xfId="2037" xr:uid="{00000000-0005-0000-0000-000019100000}"/>
    <cellStyle name="Normal 2 4 3 3 7 2" xfId="4266" xr:uid="{00000000-0005-0000-0000-00001A100000}"/>
    <cellStyle name="Normal 2 4 3 3 7 2 2" xfId="8488" xr:uid="{00000000-0005-0000-0000-00001B100000}"/>
    <cellStyle name="Normal 2 4 3 3 7 2 2 2" xfId="17814" xr:uid="{1453DED8-5281-4B79-893D-630AC95F9D28}"/>
    <cellStyle name="Normal 2 4 3 3 7 2 3" xfId="13597" xr:uid="{C8CF49C2-5EF6-4A9F-AEC1-46A0A018F3FF}"/>
    <cellStyle name="Normal 2 4 3 3 7 3" xfId="6343" xr:uid="{00000000-0005-0000-0000-00001C100000}"/>
    <cellStyle name="Normal 2 4 3 3 7 3 2" xfId="15669" xr:uid="{F4C2144D-B2D5-48C0-88D4-C3B9C7D8EC35}"/>
    <cellStyle name="Normal 2 4 3 3 7 4" xfId="11452" xr:uid="{114D0D2A-90B5-41D0-83A4-09C43033415B}"/>
    <cellStyle name="Normal 2 4 3 3 8" xfId="2473" xr:uid="{00000000-0005-0000-0000-00001D100000}"/>
    <cellStyle name="Normal 2 4 3 3 8 2" xfId="6756" xr:uid="{00000000-0005-0000-0000-00001E100000}"/>
    <cellStyle name="Normal 2 4 3 3 8 2 2" xfId="16082" xr:uid="{16AE8A82-2A82-4950-92B9-8C2D4FAA260C}"/>
    <cellStyle name="Normal 2 4 3 3 8 3" xfId="11865" xr:uid="{469FCD8E-B30A-4214-98B2-34744F7D3D56}"/>
    <cellStyle name="Normal 2 4 3 3 9" xfId="4690" xr:uid="{00000000-0005-0000-0000-00001F100000}"/>
    <cellStyle name="Normal 2 4 3 3 9 2" xfId="14016" xr:uid="{05BE2D08-3B4E-44DC-B16A-F890D1D39F20}"/>
    <cellStyle name="Normal 2 4 3 4" xfId="787" xr:uid="{00000000-0005-0000-0000-000020100000}"/>
    <cellStyle name="Normal 2 4 3 4 2" xfId="3026" xr:uid="{00000000-0005-0000-0000-000021100000}"/>
    <cellStyle name="Normal 2 4 3 4 2 2" xfId="7248" xr:uid="{00000000-0005-0000-0000-000022100000}"/>
    <cellStyle name="Normal 2 4 3 4 2 2 2" xfId="16574" xr:uid="{7265974F-45D5-4D5F-B754-B553A9407FE5}"/>
    <cellStyle name="Normal 2 4 3 4 2 3" xfId="12357" xr:uid="{6B23AB2E-C5E5-459C-A348-F29F8C3C8806}"/>
    <cellStyle name="Normal 2 4 3 4 3" xfId="5103" xr:uid="{00000000-0005-0000-0000-000023100000}"/>
    <cellStyle name="Normal 2 4 3 4 3 2" xfId="14429" xr:uid="{C82E02C1-328C-46D5-A841-ACC518D4948D}"/>
    <cellStyle name="Normal 2 4 3 4 4" xfId="9605" xr:uid="{31B075F0-6828-4EC6-AC77-4B4B0626A722}"/>
    <cellStyle name="Normal 2 4 3 4 4 2" xfId="18906" xr:uid="{0427B494-A92F-47B7-9644-3943CF68EBA3}"/>
    <cellStyle name="Normal 2 4 3 4 5" xfId="10212" xr:uid="{E4303D1E-FB8E-45CE-9D64-6C2F502A83A0}"/>
    <cellStyle name="Normal 2 4 3 5" xfId="1209" xr:uid="{00000000-0005-0000-0000-000024100000}"/>
    <cellStyle name="Normal 2 4 3 5 2" xfId="3439" xr:uid="{00000000-0005-0000-0000-000025100000}"/>
    <cellStyle name="Normal 2 4 3 5 2 2" xfId="7661" xr:uid="{00000000-0005-0000-0000-000026100000}"/>
    <cellStyle name="Normal 2 4 3 5 2 2 2" xfId="16987" xr:uid="{86057370-292B-4C99-830C-EF9AE0695F96}"/>
    <cellStyle name="Normal 2 4 3 5 2 3" xfId="12770" xr:uid="{E59B31B8-73A6-4E83-8F77-188373465C74}"/>
    <cellStyle name="Normal 2 4 3 5 3" xfId="5516" xr:uid="{00000000-0005-0000-0000-000027100000}"/>
    <cellStyle name="Normal 2 4 3 5 3 2" xfId="14842" xr:uid="{078AD204-D536-439C-85FF-E6415FEEF0C2}"/>
    <cellStyle name="Normal 2 4 3 5 4" xfId="10625" xr:uid="{3285DE50-28A6-48BF-92A0-3C43C6498A98}"/>
    <cellStyle name="Normal 2 4 3 6" xfId="1622" xr:uid="{00000000-0005-0000-0000-000028100000}"/>
    <cellStyle name="Normal 2 4 3 6 2" xfId="3852" xr:uid="{00000000-0005-0000-0000-000029100000}"/>
    <cellStyle name="Normal 2 4 3 6 2 2" xfId="8074" xr:uid="{00000000-0005-0000-0000-00002A100000}"/>
    <cellStyle name="Normal 2 4 3 6 2 2 2" xfId="17400" xr:uid="{7C855DBA-07FB-4672-B934-C028468C75AA}"/>
    <cellStyle name="Normal 2 4 3 6 2 3" xfId="13183" xr:uid="{B2CF113F-764A-4C32-9A45-C8427CF601E3}"/>
    <cellStyle name="Normal 2 4 3 6 3" xfId="5929" xr:uid="{00000000-0005-0000-0000-00002B100000}"/>
    <cellStyle name="Normal 2 4 3 6 3 2" xfId="15255" xr:uid="{E845B2E0-E977-44B3-AAD9-EC67B5315FA7}"/>
    <cellStyle name="Normal 2 4 3 6 4" xfId="11038" xr:uid="{2BD12162-D54B-421E-83A8-57A190A0AC2E}"/>
    <cellStyle name="Normal 2 4 3 7" xfId="2036" xr:uid="{00000000-0005-0000-0000-00002C100000}"/>
    <cellStyle name="Normal 2 4 3 7 2" xfId="4265" xr:uid="{00000000-0005-0000-0000-00002D100000}"/>
    <cellStyle name="Normal 2 4 3 7 2 2" xfId="8487" xr:uid="{00000000-0005-0000-0000-00002E100000}"/>
    <cellStyle name="Normal 2 4 3 7 2 2 2" xfId="17813" xr:uid="{E0D8071D-D055-4C35-ADB1-9DC2E3265986}"/>
    <cellStyle name="Normal 2 4 3 7 2 3" xfId="13596" xr:uid="{9CCFFE38-917A-427C-9D63-CCBD6573F459}"/>
    <cellStyle name="Normal 2 4 3 7 3" xfId="6342" xr:uid="{00000000-0005-0000-0000-00002F100000}"/>
    <cellStyle name="Normal 2 4 3 7 3 2" xfId="15668" xr:uid="{32061F12-D7BB-4BD3-BA29-2A23FAB66C78}"/>
    <cellStyle name="Normal 2 4 3 7 4" xfId="11451" xr:uid="{4C7A3343-DCBE-40EB-A94D-912BF137D87D}"/>
    <cellStyle name="Normal 2 4 3 8" xfId="2472" xr:uid="{00000000-0005-0000-0000-000030100000}"/>
    <cellStyle name="Normal 2 4 3 8 2" xfId="6755" xr:uid="{00000000-0005-0000-0000-000031100000}"/>
    <cellStyle name="Normal 2 4 3 8 2 2" xfId="16081" xr:uid="{8920A6AE-DE13-4510-8110-FBE91077026D}"/>
    <cellStyle name="Normal 2 4 3 8 3" xfId="11864" xr:uid="{F96E15B4-AFFB-4E52-85F0-EF2F27CE5468}"/>
    <cellStyle name="Normal 2 4 3 9" xfId="4689" xr:uid="{00000000-0005-0000-0000-000032100000}"/>
    <cellStyle name="Normal 2 4 3 9 2" xfId="14015" xr:uid="{CED22E98-2CD9-4258-AEEE-4322E16C90AD}"/>
    <cellStyle name="Normal 2 4 4" xfId="302" xr:uid="{00000000-0005-0000-0000-000033100000}"/>
    <cellStyle name="Normal 2 4 5" xfId="303" xr:uid="{00000000-0005-0000-0000-000034100000}"/>
    <cellStyle name="Normal 2 4 5 10" xfId="4694" xr:uid="{00000000-0005-0000-0000-000035100000}"/>
    <cellStyle name="Normal 2 4 5 10 2" xfId="14020" xr:uid="{A7063152-B743-4D22-A85D-D4F3E923330E}"/>
    <cellStyle name="Normal 2 4 5 11" xfId="8780" xr:uid="{7650B30D-5C17-47F0-B17B-A5E27258C29E}"/>
    <cellStyle name="Normal 2 4 5 11 2" xfId="18104" xr:uid="{5DE8BBD2-45BD-4DD6-B5E2-9B25B43A2027}"/>
    <cellStyle name="Normal 2 4 5 12" xfId="9803" xr:uid="{CC908E59-E513-4FFC-80BE-480F0EAEB425}"/>
    <cellStyle name="Normal 2 4 5 2" xfId="304" xr:uid="{00000000-0005-0000-0000-000036100000}"/>
    <cellStyle name="Normal 2 4 5 2 10" xfId="8815" xr:uid="{40A5EFE5-2EC9-4F25-B9EC-CAF9321E00F7}"/>
    <cellStyle name="Normal 2 4 5 2 10 2" xfId="18139" xr:uid="{8CF8F3EE-0F2B-4D67-8409-C5D7C5636618}"/>
    <cellStyle name="Normal 2 4 5 2 11" xfId="9804" xr:uid="{08BBBB70-A101-4EBE-A701-7922F299227C}"/>
    <cellStyle name="Normal 2 4 5 2 2" xfId="305" xr:uid="{00000000-0005-0000-0000-000037100000}"/>
    <cellStyle name="Normal 2 4 5 2 2 10" xfId="9805" xr:uid="{05B4A07E-F506-4C6E-8D9B-DDBB1A77E88C}"/>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2 2 2" xfId="16582" xr:uid="{A44E3018-6A58-4113-B7DB-9B9F92ED9114}"/>
    <cellStyle name="Normal 2 4 5 2 2 2 2 2 3" xfId="12365" xr:uid="{136E9E66-F75C-40CB-9F78-FD273220612F}"/>
    <cellStyle name="Normal 2 4 5 2 2 2 2 3" xfId="5111" xr:uid="{00000000-0005-0000-0000-00003C100000}"/>
    <cellStyle name="Normal 2 4 5 2 2 2 2 3 2" xfId="14437" xr:uid="{4644951D-0078-4554-8308-4C443B5137B9}"/>
    <cellStyle name="Normal 2 4 5 2 2 2 2 4" xfId="9550" xr:uid="{8A7671EC-AB7E-4F51-9B1B-FE1F0FDC42A9}"/>
    <cellStyle name="Normal 2 4 5 2 2 2 2 4 2" xfId="18865" xr:uid="{FA422008-26DF-4827-9DEC-4E2EDB55336A}"/>
    <cellStyle name="Normal 2 4 5 2 2 2 2 5" xfId="10220" xr:uid="{6C7B8E31-4A74-495F-BC47-67309A3312AD}"/>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2 2 2" xfId="16995" xr:uid="{481BE014-3630-4A5F-88A1-BA441EFEBC5A}"/>
    <cellStyle name="Normal 2 4 5 2 2 2 3 2 3" xfId="12778" xr:uid="{7F33FADB-FC66-4A4B-8C90-AFD01DE952CD}"/>
    <cellStyle name="Normal 2 4 5 2 2 2 3 3" xfId="5524" xr:uid="{00000000-0005-0000-0000-000040100000}"/>
    <cellStyle name="Normal 2 4 5 2 2 2 3 3 2" xfId="14850" xr:uid="{2CBCE6B1-73FF-4DBB-85B8-380CD24A7431}"/>
    <cellStyle name="Normal 2 4 5 2 2 2 3 4" xfId="10633" xr:uid="{65D641DF-B8AD-4F8D-B916-07ADCA9FAECA}"/>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2 2 2" xfId="17408" xr:uid="{F1D2CDB2-E42E-4CC5-982E-F06D61719D20}"/>
    <cellStyle name="Normal 2 4 5 2 2 2 4 2 3" xfId="13191" xr:uid="{D4806904-9961-41A1-8FD4-8289BABE6C3E}"/>
    <cellStyle name="Normal 2 4 5 2 2 2 4 3" xfId="5937" xr:uid="{00000000-0005-0000-0000-000044100000}"/>
    <cellStyle name="Normal 2 4 5 2 2 2 4 3 2" xfId="15263" xr:uid="{04960D2D-34A6-463D-955C-B312EDCDD2A9}"/>
    <cellStyle name="Normal 2 4 5 2 2 2 4 4" xfId="11046" xr:uid="{DE546C5B-456B-4D59-97BA-58012B44053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2 2 2" xfId="17821" xr:uid="{3BCD8200-5C8E-49BB-81DF-014697E79141}"/>
    <cellStyle name="Normal 2 4 5 2 2 2 5 2 3" xfId="13604" xr:uid="{14BF6DA2-75B5-4184-825B-2990D80EF495}"/>
    <cellStyle name="Normal 2 4 5 2 2 2 5 3" xfId="6350" xr:uid="{00000000-0005-0000-0000-000048100000}"/>
    <cellStyle name="Normal 2 4 5 2 2 2 5 3 2" xfId="15676" xr:uid="{4D4AD2D0-52C5-4BBE-A69B-6121618757F8}"/>
    <cellStyle name="Normal 2 4 5 2 2 2 5 4" xfId="11459" xr:uid="{FEA0A398-17FB-4704-9939-2842FD5D888E}"/>
    <cellStyle name="Normal 2 4 5 2 2 2 6" xfId="2480" xr:uid="{00000000-0005-0000-0000-000049100000}"/>
    <cellStyle name="Normal 2 4 5 2 2 2 6 2" xfId="6763" xr:uid="{00000000-0005-0000-0000-00004A100000}"/>
    <cellStyle name="Normal 2 4 5 2 2 2 6 2 2" xfId="16089" xr:uid="{F10D31A0-713D-43B7-A9A6-2AEF92865274}"/>
    <cellStyle name="Normal 2 4 5 2 2 2 6 3" xfId="11872" xr:uid="{365A1A44-B4A8-4C4F-841B-52C2E7BE35C7}"/>
    <cellStyle name="Normal 2 4 5 2 2 2 7" xfId="4697" xr:uid="{00000000-0005-0000-0000-00004B100000}"/>
    <cellStyle name="Normal 2 4 5 2 2 2 7 2" xfId="14023" xr:uid="{52F4E07D-B1C7-4D79-A5F5-AB02FFE0B646}"/>
    <cellStyle name="Normal 2 4 5 2 2 2 8" xfId="9125" xr:uid="{AE6B93A1-5C0B-49F1-AF15-6FC3FAFFE3B2}"/>
    <cellStyle name="Normal 2 4 5 2 2 2 8 2" xfId="18449" xr:uid="{5B334CC3-5A40-4207-8935-2C7D08ABB4B7}"/>
    <cellStyle name="Normal 2 4 5 2 2 2 9" xfId="9806" xr:uid="{CC5EE6EB-F14D-4136-9164-EC8FD8A305AB}"/>
    <cellStyle name="Normal 2 4 5 2 2 3" xfId="794" xr:uid="{00000000-0005-0000-0000-00004C100000}"/>
    <cellStyle name="Normal 2 4 5 2 2 3 2" xfId="3033" xr:uid="{00000000-0005-0000-0000-00004D100000}"/>
    <cellStyle name="Normal 2 4 5 2 2 3 2 2" xfId="7255" xr:uid="{00000000-0005-0000-0000-00004E100000}"/>
    <cellStyle name="Normal 2 4 5 2 2 3 2 2 2" xfId="16581" xr:uid="{22C24947-4FA9-4724-A79D-DA231F44D955}"/>
    <cellStyle name="Normal 2 4 5 2 2 3 2 3" xfId="12364" xr:uid="{732FC790-17CE-4C86-BE07-3E9962D9DB87}"/>
    <cellStyle name="Normal 2 4 5 2 2 3 3" xfId="5110" xr:uid="{00000000-0005-0000-0000-00004F100000}"/>
    <cellStyle name="Normal 2 4 5 2 2 3 3 2" xfId="14436" xr:uid="{3C9ACBDC-B0E6-4542-AB4D-94FC3CD91C22}"/>
    <cellStyle name="Normal 2 4 5 2 2 3 4" xfId="9343" xr:uid="{FC4CD386-4202-45E2-8021-2A85CACF4E8B}"/>
    <cellStyle name="Normal 2 4 5 2 2 3 4 2" xfId="18658" xr:uid="{91C1881C-B636-4B53-A577-2ABDE99CEF39}"/>
    <cellStyle name="Normal 2 4 5 2 2 3 5" xfId="10219" xr:uid="{62F6FBD5-8581-40C1-A4BD-18C2E5167120}"/>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2 2 2" xfId="16994" xr:uid="{CB0CB964-676E-4FB5-A9EE-B90046C90BCE}"/>
    <cellStyle name="Normal 2 4 5 2 2 4 2 3" xfId="12777" xr:uid="{B71BD57C-D5E6-4B4F-B24E-2A25AD82E27F}"/>
    <cellStyle name="Normal 2 4 5 2 2 4 3" xfId="5523" xr:uid="{00000000-0005-0000-0000-000053100000}"/>
    <cellStyle name="Normal 2 4 5 2 2 4 3 2" xfId="14849" xr:uid="{B5A2E509-09D7-4652-9406-2642BEBB8589}"/>
    <cellStyle name="Normal 2 4 5 2 2 4 4" xfId="10632" xr:uid="{04FB63FC-F04D-4172-96D5-40FFEAFB9C75}"/>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2 2 2" xfId="17407" xr:uid="{B35736D2-26F8-47AA-9BE1-FD7EBB044626}"/>
    <cellStyle name="Normal 2 4 5 2 2 5 2 3" xfId="13190" xr:uid="{A534145D-EA64-421B-A7A0-4569E9CB9D0B}"/>
    <cellStyle name="Normal 2 4 5 2 2 5 3" xfId="5936" xr:uid="{00000000-0005-0000-0000-000057100000}"/>
    <cellStyle name="Normal 2 4 5 2 2 5 3 2" xfId="15262" xr:uid="{5ED78222-E50D-4F87-B705-0B57BBFA72EF}"/>
    <cellStyle name="Normal 2 4 5 2 2 5 4" xfId="11045" xr:uid="{7EF7D245-5E59-4CC6-8ED0-EE5F1C083AA6}"/>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2 2 2" xfId="17820" xr:uid="{344ED164-52EA-48EA-8E5C-BAE4FAEAA366}"/>
    <cellStyle name="Normal 2 4 5 2 2 6 2 3" xfId="13603" xr:uid="{8B442C50-E721-4C0E-87B6-2717BDA32346}"/>
    <cellStyle name="Normal 2 4 5 2 2 6 3" xfId="6349" xr:uid="{00000000-0005-0000-0000-00005B100000}"/>
    <cellStyle name="Normal 2 4 5 2 2 6 3 2" xfId="15675" xr:uid="{70469A6C-CA8D-46C6-96CF-92F28323537B}"/>
    <cellStyle name="Normal 2 4 5 2 2 6 4" xfId="11458" xr:uid="{3619967A-6662-4820-8578-D0AD8C7C92F3}"/>
    <cellStyle name="Normal 2 4 5 2 2 7" xfId="2479" xr:uid="{00000000-0005-0000-0000-00005C100000}"/>
    <cellStyle name="Normal 2 4 5 2 2 7 2" xfId="6762" xr:uid="{00000000-0005-0000-0000-00005D100000}"/>
    <cellStyle name="Normal 2 4 5 2 2 7 2 2" xfId="16088" xr:uid="{4CBCC573-2853-45C3-9D7F-322D983A83CF}"/>
    <cellStyle name="Normal 2 4 5 2 2 7 3" xfId="11871" xr:uid="{F697D5B5-F716-46ED-83F8-F32B9C1F8359}"/>
    <cellStyle name="Normal 2 4 5 2 2 8" xfId="4696" xr:uid="{00000000-0005-0000-0000-00005E100000}"/>
    <cellStyle name="Normal 2 4 5 2 2 8 2" xfId="14022" xr:uid="{7096DF6C-54DF-4322-830B-BC29AD7146C6}"/>
    <cellStyle name="Normal 2 4 5 2 2 9" xfId="8918" xr:uid="{C191AFB9-5B9B-45BF-8589-0BB68E370D0F}"/>
    <cellStyle name="Normal 2 4 5 2 2 9 2" xfId="18242" xr:uid="{BBEBDEA0-B1D2-4652-ADDB-29916F020916}"/>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2 2 2" xfId="16583" xr:uid="{C4749644-E55E-49AB-8209-6BA64239013F}"/>
    <cellStyle name="Normal 2 4 5 2 3 2 2 3" xfId="12366" xr:uid="{E64F3EC2-00B7-4540-966B-D480AF7E95F4}"/>
    <cellStyle name="Normal 2 4 5 2 3 2 3" xfId="5112" xr:uid="{00000000-0005-0000-0000-000063100000}"/>
    <cellStyle name="Normal 2 4 5 2 3 2 3 2" xfId="14438" xr:uid="{1D10E50F-1539-4E10-B401-34B477FA5F31}"/>
    <cellStyle name="Normal 2 4 5 2 3 2 4" xfId="9447" xr:uid="{5DAE67B2-15F6-4C7F-9310-B9C816D42F72}"/>
    <cellStyle name="Normal 2 4 5 2 3 2 4 2" xfId="18762" xr:uid="{41EE3CBA-12A5-44EC-AB0F-4BE92FEAB3F0}"/>
    <cellStyle name="Normal 2 4 5 2 3 2 5" xfId="10221" xr:uid="{659F6313-A057-41B8-82D6-64E4FD7C1AC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2 2 2" xfId="16996" xr:uid="{B9A20FE0-409A-4212-983D-9BF7DA6AB62E}"/>
    <cellStyle name="Normal 2 4 5 2 3 3 2 3" xfId="12779" xr:uid="{D1D52AFE-EF2E-48D7-8E48-E1DBAC5BDF0A}"/>
    <cellStyle name="Normal 2 4 5 2 3 3 3" xfId="5525" xr:uid="{00000000-0005-0000-0000-000067100000}"/>
    <cellStyle name="Normal 2 4 5 2 3 3 3 2" xfId="14851" xr:uid="{FE26654A-DE02-4BDF-802B-CF31F5461574}"/>
    <cellStyle name="Normal 2 4 5 2 3 3 4" xfId="10634" xr:uid="{AF4DB2BB-801B-4DFD-81C9-E814C685BF31}"/>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2 2 2" xfId="17409" xr:uid="{0B452003-D225-4491-A146-CEA0638016D7}"/>
    <cellStyle name="Normal 2 4 5 2 3 4 2 3" xfId="13192" xr:uid="{0994FA50-3940-4815-80A2-7B4A92E2F453}"/>
    <cellStyle name="Normal 2 4 5 2 3 4 3" xfId="5938" xr:uid="{00000000-0005-0000-0000-00006B100000}"/>
    <cellStyle name="Normal 2 4 5 2 3 4 3 2" xfId="15264" xr:uid="{0C148A34-6BA0-4A6F-8434-1822FEE56179}"/>
    <cellStyle name="Normal 2 4 5 2 3 4 4" xfId="11047" xr:uid="{50424F89-6DAD-434B-A53F-64F1C75B1B39}"/>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2 2 2" xfId="17822" xr:uid="{6E294036-4098-4F0E-AB5F-B15634AD7846}"/>
    <cellStyle name="Normal 2 4 5 2 3 5 2 3" xfId="13605" xr:uid="{A1FEC338-8F94-4CF4-996E-02B700A4D64E}"/>
    <cellStyle name="Normal 2 4 5 2 3 5 3" xfId="6351" xr:uid="{00000000-0005-0000-0000-00006F100000}"/>
    <cellStyle name="Normal 2 4 5 2 3 5 3 2" xfId="15677" xr:uid="{75DEAE7A-5045-4C24-A8D1-9AA3E1EAF25B}"/>
    <cellStyle name="Normal 2 4 5 2 3 5 4" xfId="11460" xr:uid="{8AD09A52-FB6F-48A4-8225-7FE85552C126}"/>
    <cellStyle name="Normal 2 4 5 2 3 6" xfId="2481" xr:uid="{00000000-0005-0000-0000-000070100000}"/>
    <cellStyle name="Normal 2 4 5 2 3 6 2" xfId="6764" xr:uid="{00000000-0005-0000-0000-000071100000}"/>
    <cellStyle name="Normal 2 4 5 2 3 6 2 2" xfId="16090" xr:uid="{622AE640-EE0C-486F-9F73-4F6056E30D4A}"/>
    <cellStyle name="Normal 2 4 5 2 3 6 3" xfId="11873" xr:uid="{81692849-5BEA-46D7-8B4C-5863EA204B1A}"/>
    <cellStyle name="Normal 2 4 5 2 3 7" xfId="4698" xr:uid="{00000000-0005-0000-0000-000072100000}"/>
    <cellStyle name="Normal 2 4 5 2 3 7 2" xfId="14024" xr:uid="{110B5B50-E590-482D-A93D-92C526B7F465}"/>
    <cellStyle name="Normal 2 4 5 2 3 8" xfId="9022" xr:uid="{B979F5DF-A88B-437D-B1B4-B92D08856DC7}"/>
    <cellStyle name="Normal 2 4 5 2 3 8 2" xfId="18346" xr:uid="{50A2432E-12DE-4C61-95C0-B8C22225F9B3}"/>
    <cellStyle name="Normal 2 4 5 2 3 9" xfId="9807" xr:uid="{3DBAFA40-4225-41BD-82B5-DE011984B279}"/>
    <cellStyle name="Normal 2 4 5 2 4" xfId="793" xr:uid="{00000000-0005-0000-0000-000073100000}"/>
    <cellStyle name="Normal 2 4 5 2 4 2" xfId="3032" xr:uid="{00000000-0005-0000-0000-000074100000}"/>
    <cellStyle name="Normal 2 4 5 2 4 2 2" xfId="7254" xr:uid="{00000000-0005-0000-0000-000075100000}"/>
    <cellStyle name="Normal 2 4 5 2 4 2 2 2" xfId="16580" xr:uid="{C21F0652-4F42-447E-B5D7-430EF2948BC6}"/>
    <cellStyle name="Normal 2 4 5 2 4 2 3" xfId="12363" xr:uid="{19C68979-4611-4812-9952-D1018F6A9F7A}"/>
    <cellStyle name="Normal 2 4 5 2 4 3" xfId="5109" xr:uid="{00000000-0005-0000-0000-000076100000}"/>
    <cellStyle name="Normal 2 4 5 2 4 3 2" xfId="14435" xr:uid="{E0291264-9CB4-4C5F-991D-EDDBAAC2B9EC}"/>
    <cellStyle name="Normal 2 4 5 2 4 4" xfId="9240" xr:uid="{16FBE981-4867-4157-8C0D-9C1339DB5B3F}"/>
    <cellStyle name="Normal 2 4 5 2 4 4 2" xfId="18555" xr:uid="{0A8A95AF-8C7C-4CC1-8705-50375D86B042}"/>
    <cellStyle name="Normal 2 4 5 2 4 5" xfId="10218" xr:uid="{AC9ACCEB-7CDB-4E00-9DC9-6114BE321143}"/>
    <cellStyle name="Normal 2 4 5 2 5" xfId="1215" xr:uid="{00000000-0005-0000-0000-000077100000}"/>
    <cellStyle name="Normal 2 4 5 2 5 2" xfId="3445" xr:uid="{00000000-0005-0000-0000-000078100000}"/>
    <cellStyle name="Normal 2 4 5 2 5 2 2" xfId="7667" xr:uid="{00000000-0005-0000-0000-000079100000}"/>
    <cellStyle name="Normal 2 4 5 2 5 2 2 2" xfId="16993" xr:uid="{9AA9BF09-71C9-42D1-8154-C8EEF52EA6CE}"/>
    <cellStyle name="Normal 2 4 5 2 5 2 3" xfId="12776" xr:uid="{CD7BF199-7C5D-45C9-BD9F-CE206E06EB57}"/>
    <cellStyle name="Normal 2 4 5 2 5 3" xfId="5522" xr:uid="{00000000-0005-0000-0000-00007A100000}"/>
    <cellStyle name="Normal 2 4 5 2 5 3 2" xfId="14848" xr:uid="{6D9CF053-9935-49EA-A7A6-A71D925A0A8C}"/>
    <cellStyle name="Normal 2 4 5 2 5 4" xfId="10631" xr:uid="{FD60587C-CA0D-4D8F-8A6F-139DB50B31CE}"/>
    <cellStyle name="Normal 2 4 5 2 6" xfId="1628" xr:uid="{00000000-0005-0000-0000-00007B100000}"/>
    <cellStyle name="Normal 2 4 5 2 6 2" xfId="3858" xr:uid="{00000000-0005-0000-0000-00007C100000}"/>
    <cellStyle name="Normal 2 4 5 2 6 2 2" xfId="8080" xr:uid="{00000000-0005-0000-0000-00007D100000}"/>
    <cellStyle name="Normal 2 4 5 2 6 2 2 2" xfId="17406" xr:uid="{0813C0BD-B3BE-4BA7-AFEA-A8FA20D49E69}"/>
    <cellStyle name="Normal 2 4 5 2 6 2 3" xfId="13189" xr:uid="{AC0D0EBE-90CE-49B0-9120-1EE9457F3CCD}"/>
    <cellStyle name="Normal 2 4 5 2 6 3" xfId="5935" xr:uid="{00000000-0005-0000-0000-00007E100000}"/>
    <cellStyle name="Normal 2 4 5 2 6 3 2" xfId="15261" xr:uid="{CDBFB666-9ACA-45A6-996A-470465EA8539}"/>
    <cellStyle name="Normal 2 4 5 2 6 4" xfId="11044" xr:uid="{2F2968F3-7324-4C78-AB5C-1E0AE5B2CC77}"/>
    <cellStyle name="Normal 2 4 5 2 7" xfId="2042" xr:uid="{00000000-0005-0000-0000-00007F100000}"/>
    <cellStyle name="Normal 2 4 5 2 7 2" xfId="4271" xr:uid="{00000000-0005-0000-0000-000080100000}"/>
    <cellStyle name="Normal 2 4 5 2 7 2 2" xfId="8493" xr:uid="{00000000-0005-0000-0000-000081100000}"/>
    <cellStyle name="Normal 2 4 5 2 7 2 2 2" xfId="17819" xr:uid="{2A15BD8A-EB9E-4BDC-B64C-10AF33695CF2}"/>
    <cellStyle name="Normal 2 4 5 2 7 2 3" xfId="13602" xr:uid="{33505C10-D396-4E9F-A28D-3BEDD28341D3}"/>
    <cellStyle name="Normal 2 4 5 2 7 3" xfId="6348" xr:uid="{00000000-0005-0000-0000-000082100000}"/>
    <cellStyle name="Normal 2 4 5 2 7 3 2" xfId="15674" xr:uid="{5A540EC4-FEAA-4756-A058-650BCB801498}"/>
    <cellStyle name="Normal 2 4 5 2 7 4" xfId="11457" xr:uid="{F80D9688-44D3-433B-AE04-5E734DA4C9B0}"/>
    <cellStyle name="Normal 2 4 5 2 8" xfId="2478" xr:uid="{00000000-0005-0000-0000-000083100000}"/>
    <cellStyle name="Normal 2 4 5 2 8 2" xfId="6761" xr:uid="{00000000-0005-0000-0000-000084100000}"/>
    <cellStyle name="Normal 2 4 5 2 8 2 2" xfId="16087" xr:uid="{D56F038A-91AA-4278-8142-B831FD08AD53}"/>
    <cellStyle name="Normal 2 4 5 2 8 3" xfId="11870" xr:uid="{7FAC46F1-D91E-42B9-B513-A11D7FCD2184}"/>
    <cellStyle name="Normal 2 4 5 2 9" xfId="4695" xr:uid="{00000000-0005-0000-0000-000085100000}"/>
    <cellStyle name="Normal 2 4 5 2 9 2" xfId="14021" xr:uid="{FB4E7075-BBDA-4A56-92A2-C33174A635E0}"/>
    <cellStyle name="Normal 2 4 5 3" xfId="308" xr:uid="{00000000-0005-0000-0000-000086100000}"/>
    <cellStyle name="Normal 2 4 5 3 10" xfId="9808" xr:uid="{7B6BD679-236B-4C66-B30A-92CCFBCA77D2}"/>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2 2 2" xfId="16585" xr:uid="{6DBA751B-888B-46FD-9FFF-B0E216CFFF9B}"/>
    <cellStyle name="Normal 2 4 5 3 2 2 2 3" xfId="12368" xr:uid="{8E4D609F-A688-40FA-A081-633523B7295A}"/>
    <cellStyle name="Normal 2 4 5 3 2 2 3" xfId="5114" xr:uid="{00000000-0005-0000-0000-00008B100000}"/>
    <cellStyle name="Normal 2 4 5 3 2 2 3 2" xfId="14440" xr:uid="{001D338D-73FD-4CCD-9037-4F9711655363}"/>
    <cellStyle name="Normal 2 4 5 3 2 2 4" xfId="9515" xr:uid="{A1D6949C-773D-44DB-B26F-4DD01D24FF00}"/>
    <cellStyle name="Normal 2 4 5 3 2 2 4 2" xfId="18830" xr:uid="{5177424C-CB61-4FEF-8644-800B96D702DD}"/>
    <cellStyle name="Normal 2 4 5 3 2 2 5" xfId="10223" xr:uid="{C3020BFA-AEF9-49BB-88CD-969AC87A128A}"/>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2 2 2" xfId="16998" xr:uid="{F9DB1335-E3DC-45DF-A200-0AAD437D2984}"/>
    <cellStyle name="Normal 2 4 5 3 2 3 2 3" xfId="12781" xr:uid="{8C79D172-879A-41F3-8916-F63D11515D56}"/>
    <cellStyle name="Normal 2 4 5 3 2 3 3" xfId="5527" xr:uid="{00000000-0005-0000-0000-00008F100000}"/>
    <cellStyle name="Normal 2 4 5 3 2 3 3 2" xfId="14853" xr:uid="{11CD76E7-E6FC-4CDD-95BF-1DDC6758D307}"/>
    <cellStyle name="Normal 2 4 5 3 2 3 4" xfId="10636" xr:uid="{E97906A1-B5C9-4696-9BAE-EAF25CFAA752}"/>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2 2 2" xfId="17411" xr:uid="{F788697F-A16E-4053-8822-673E2E9EDD07}"/>
    <cellStyle name="Normal 2 4 5 3 2 4 2 3" xfId="13194" xr:uid="{C87DA61A-9AF2-4AD7-8660-1AB4E669B219}"/>
    <cellStyle name="Normal 2 4 5 3 2 4 3" xfId="5940" xr:uid="{00000000-0005-0000-0000-000093100000}"/>
    <cellStyle name="Normal 2 4 5 3 2 4 3 2" xfId="15266" xr:uid="{0C2A3D94-28B1-4E90-988E-60742C2ACD15}"/>
    <cellStyle name="Normal 2 4 5 3 2 4 4" xfId="11049" xr:uid="{F9957D2D-C05E-4146-86EA-DACD3F49F18F}"/>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2 2 2" xfId="17824" xr:uid="{92D95802-7CD0-43D0-AF46-63D37644C777}"/>
    <cellStyle name="Normal 2 4 5 3 2 5 2 3" xfId="13607" xr:uid="{B2BBF2A0-E3D3-4114-8BF4-3E68DB2CC13F}"/>
    <cellStyle name="Normal 2 4 5 3 2 5 3" xfId="6353" xr:uid="{00000000-0005-0000-0000-000097100000}"/>
    <cellStyle name="Normal 2 4 5 3 2 5 3 2" xfId="15679" xr:uid="{EF72AD26-A390-48C9-A556-03D9A16D7D20}"/>
    <cellStyle name="Normal 2 4 5 3 2 5 4" xfId="11462" xr:uid="{F839B079-F067-4899-9B75-8A390FEBB6B1}"/>
    <cellStyle name="Normal 2 4 5 3 2 6" xfId="2483" xr:uid="{00000000-0005-0000-0000-000098100000}"/>
    <cellStyle name="Normal 2 4 5 3 2 6 2" xfId="6766" xr:uid="{00000000-0005-0000-0000-000099100000}"/>
    <cellStyle name="Normal 2 4 5 3 2 6 2 2" xfId="16092" xr:uid="{250019D9-6B94-49B1-9C57-240FA7800ED8}"/>
    <cellStyle name="Normal 2 4 5 3 2 6 3" xfId="11875" xr:uid="{086D9A89-FAB2-47EC-9B7A-0DBBDBC7033F}"/>
    <cellStyle name="Normal 2 4 5 3 2 7" xfId="4700" xr:uid="{00000000-0005-0000-0000-00009A100000}"/>
    <cellStyle name="Normal 2 4 5 3 2 7 2" xfId="14026" xr:uid="{CE7B6DB3-06EA-4251-82E1-16FC9A126EFC}"/>
    <cellStyle name="Normal 2 4 5 3 2 8" xfId="9090" xr:uid="{4B64C5F8-5AC3-43D3-B94A-46850BBF79A5}"/>
    <cellStyle name="Normal 2 4 5 3 2 8 2" xfId="18414" xr:uid="{AB47F597-03C5-40D4-9AF3-12821264D453}"/>
    <cellStyle name="Normal 2 4 5 3 2 9" xfId="9809" xr:uid="{0997EDEF-EBDC-4FB9-A355-F074E7DD92DF}"/>
    <cellStyle name="Normal 2 4 5 3 3" xfId="797" xr:uid="{00000000-0005-0000-0000-00009B100000}"/>
    <cellStyle name="Normal 2 4 5 3 3 2" xfId="3036" xr:uid="{00000000-0005-0000-0000-00009C100000}"/>
    <cellStyle name="Normal 2 4 5 3 3 2 2" xfId="7258" xr:uid="{00000000-0005-0000-0000-00009D100000}"/>
    <cellStyle name="Normal 2 4 5 3 3 2 2 2" xfId="16584" xr:uid="{F7FDB6D5-CCFA-4748-8BFC-ABF0AF994469}"/>
    <cellStyle name="Normal 2 4 5 3 3 2 3" xfId="12367" xr:uid="{CE880C5B-F76A-4686-A090-7317D6ED9F8A}"/>
    <cellStyle name="Normal 2 4 5 3 3 3" xfId="5113" xr:uid="{00000000-0005-0000-0000-00009E100000}"/>
    <cellStyle name="Normal 2 4 5 3 3 3 2" xfId="14439" xr:uid="{49FFB059-DF90-4195-8EC8-77C8E6437BEB}"/>
    <cellStyle name="Normal 2 4 5 3 3 4" xfId="9308" xr:uid="{40198FFA-4C90-42BE-90C8-42459F1A2A1C}"/>
    <cellStyle name="Normal 2 4 5 3 3 4 2" xfId="18623" xr:uid="{DD364577-78C0-4E17-A29E-5888FEC64CF6}"/>
    <cellStyle name="Normal 2 4 5 3 3 5" xfId="10222" xr:uid="{03E000F9-C15D-4542-A65D-30F9A13DABC3}"/>
    <cellStyle name="Normal 2 4 5 3 4" xfId="1219" xr:uid="{00000000-0005-0000-0000-00009F100000}"/>
    <cellStyle name="Normal 2 4 5 3 4 2" xfId="3449" xr:uid="{00000000-0005-0000-0000-0000A0100000}"/>
    <cellStyle name="Normal 2 4 5 3 4 2 2" xfId="7671" xr:uid="{00000000-0005-0000-0000-0000A1100000}"/>
    <cellStyle name="Normal 2 4 5 3 4 2 2 2" xfId="16997" xr:uid="{84F8C0EF-B1F7-4265-8104-FF7877ADE02C}"/>
    <cellStyle name="Normal 2 4 5 3 4 2 3" xfId="12780" xr:uid="{5E0AD889-5C5F-43A2-8E55-B696F856F142}"/>
    <cellStyle name="Normal 2 4 5 3 4 3" xfId="5526" xr:uid="{00000000-0005-0000-0000-0000A2100000}"/>
    <cellStyle name="Normal 2 4 5 3 4 3 2" xfId="14852" xr:uid="{D423EDAF-DCFE-4EB8-8F58-11E9DD4B4DF0}"/>
    <cellStyle name="Normal 2 4 5 3 4 4" xfId="10635" xr:uid="{33A9D37C-3C9F-4F00-941D-46C7FB209CEA}"/>
    <cellStyle name="Normal 2 4 5 3 5" xfId="1632" xr:uid="{00000000-0005-0000-0000-0000A3100000}"/>
    <cellStyle name="Normal 2 4 5 3 5 2" xfId="3862" xr:uid="{00000000-0005-0000-0000-0000A4100000}"/>
    <cellStyle name="Normal 2 4 5 3 5 2 2" xfId="8084" xr:uid="{00000000-0005-0000-0000-0000A5100000}"/>
    <cellStyle name="Normal 2 4 5 3 5 2 2 2" xfId="17410" xr:uid="{99009A35-650C-4885-B14E-FD4D1FA0B065}"/>
    <cellStyle name="Normal 2 4 5 3 5 2 3" xfId="13193" xr:uid="{BDCA49BF-1A41-442C-B0E7-9CABB2D0AB9A}"/>
    <cellStyle name="Normal 2 4 5 3 5 3" xfId="5939" xr:uid="{00000000-0005-0000-0000-0000A6100000}"/>
    <cellStyle name="Normal 2 4 5 3 5 3 2" xfId="15265" xr:uid="{5ACB34EE-0691-4807-9180-44EC92BB8B89}"/>
    <cellStyle name="Normal 2 4 5 3 5 4" xfId="11048" xr:uid="{0DC1A6C1-D90E-4BEA-898A-7B3AEF857C19}"/>
    <cellStyle name="Normal 2 4 5 3 6" xfId="2046" xr:uid="{00000000-0005-0000-0000-0000A7100000}"/>
    <cellStyle name="Normal 2 4 5 3 6 2" xfId="4275" xr:uid="{00000000-0005-0000-0000-0000A8100000}"/>
    <cellStyle name="Normal 2 4 5 3 6 2 2" xfId="8497" xr:uid="{00000000-0005-0000-0000-0000A9100000}"/>
    <cellStyle name="Normal 2 4 5 3 6 2 2 2" xfId="17823" xr:uid="{4213D23A-9A5A-4447-98B8-F4D071950088}"/>
    <cellStyle name="Normal 2 4 5 3 6 2 3" xfId="13606" xr:uid="{90BB64AE-64B8-4290-A9BC-E2B5BA7CEDB3}"/>
    <cellStyle name="Normal 2 4 5 3 6 3" xfId="6352" xr:uid="{00000000-0005-0000-0000-0000AA100000}"/>
    <cellStyle name="Normal 2 4 5 3 6 3 2" xfId="15678" xr:uid="{C2110D8F-2B6D-4648-9FEE-151B48A9DE0D}"/>
    <cellStyle name="Normal 2 4 5 3 6 4" xfId="11461" xr:uid="{0FC8B89D-D1A5-481D-9749-EFCB68CFE354}"/>
    <cellStyle name="Normal 2 4 5 3 7" xfId="2482" xr:uid="{00000000-0005-0000-0000-0000AB100000}"/>
    <cellStyle name="Normal 2 4 5 3 7 2" xfId="6765" xr:uid="{00000000-0005-0000-0000-0000AC100000}"/>
    <cellStyle name="Normal 2 4 5 3 7 2 2" xfId="16091" xr:uid="{EDCB6075-3998-4C39-B6C8-53202D7589CE}"/>
    <cellStyle name="Normal 2 4 5 3 7 3" xfId="11874" xr:uid="{0048E666-01E0-4E0F-BE9F-898790EFA995}"/>
    <cellStyle name="Normal 2 4 5 3 8" xfId="4699" xr:uid="{00000000-0005-0000-0000-0000AD100000}"/>
    <cellStyle name="Normal 2 4 5 3 8 2" xfId="14025" xr:uid="{7FFEE1C9-5163-420C-BA33-6CAC8B935387}"/>
    <cellStyle name="Normal 2 4 5 3 9" xfId="8883" xr:uid="{0A470B75-873E-4D74-A257-113E3E343E18}"/>
    <cellStyle name="Normal 2 4 5 3 9 2" xfId="18207" xr:uid="{1CBF90C0-1D90-4F3C-ACA4-814645188A6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2 2 2" xfId="16586" xr:uid="{DB411E34-4A8E-4249-A1D3-F4C3A5B02DA5}"/>
    <cellStyle name="Normal 2 4 5 4 2 2 3" xfId="12369" xr:uid="{A6233BF6-4172-40D2-A545-F8180A95E19F}"/>
    <cellStyle name="Normal 2 4 5 4 2 3" xfId="5115" xr:uid="{00000000-0005-0000-0000-0000B2100000}"/>
    <cellStyle name="Normal 2 4 5 4 2 3 2" xfId="14441" xr:uid="{D0B58F0E-6084-4E4D-80FB-7782D6061101}"/>
    <cellStyle name="Normal 2 4 5 4 2 4" xfId="9412" xr:uid="{0ECAC303-3EA0-4623-AA0F-854157CA32E5}"/>
    <cellStyle name="Normal 2 4 5 4 2 4 2" xfId="18727" xr:uid="{2E5B1D50-3C2A-4750-92FA-0E6E3E28DAC4}"/>
    <cellStyle name="Normal 2 4 5 4 2 5" xfId="10224" xr:uid="{1599AA46-A40C-4F61-ACA8-FEA2A89452A7}"/>
    <cellStyle name="Normal 2 4 5 4 3" xfId="1221" xr:uid="{00000000-0005-0000-0000-0000B3100000}"/>
    <cellStyle name="Normal 2 4 5 4 3 2" xfId="3451" xr:uid="{00000000-0005-0000-0000-0000B4100000}"/>
    <cellStyle name="Normal 2 4 5 4 3 2 2" xfId="7673" xr:uid="{00000000-0005-0000-0000-0000B5100000}"/>
    <cellStyle name="Normal 2 4 5 4 3 2 2 2" xfId="16999" xr:uid="{EA09937D-092A-4813-BD21-0834036342AC}"/>
    <cellStyle name="Normal 2 4 5 4 3 2 3" xfId="12782" xr:uid="{1721CBB6-DD71-4630-9A02-234356491BDB}"/>
    <cellStyle name="Normal 2 4 5 4 3 3" xfId="5528" xr:uid="{00000000-0005-0000-0000-0000B6100000}"/>
    <cellStyle name="Normal 2 4 5 4 3 3 2" xfId="14854" xr:uid="{1877786A-0EC8-4994-9570-0AD1EFB75DE4}"/>
    <cellStyle name="Normal 2 4 5 4 3 4" xfId="10637" xr:uid="{D83E1BA7-CA03-45DF-B677-1599714D6BDB}"/>
    <cellStyle name="Normal 2 4 5 4 4" xfId="1634" xr:uid="{00000000-0005-0000-0000-0000B7100000}"/>
    <cellStyle name="Normal 2 4 5 4 4 2" xfId="3864" xr:uid="{00000000-0005-0000-0000-0000B8100000}"/>
    <cellStyle name="Normal 2 4 5 4 4 2 2" xfId="8086" xr:uid="{00000000-0005-0000-0000-0000B9100000}"/>
    <cellStyle name="Normal 2 4 5 4 4 2 2 2" xfId="17412" xr:uid="{1DB5AEAA-C8D6-460D-9986-3BCA516E83FE}"/>
    <cellStyle name="Normal 2 4 5 4 4 2 3" xfId="13195" xr:uid="{610FC003-C5B5-4BD4-B778-685234427478}"/>
    <cellStyle name="Normal 2 4 5 4 4 3" xfId="5941" xr:uid="{00000000-0005-0000-0000-0000BA100000}"/>
    <cellStyle name="Normal 2 4 5 4 4 3 2" xfId="15267" xr:uid="{5287B3B3-C945-4ADB-A2E8-35EF9B4AC6CD}"/>
    <cellStyle name="Normal 2 4 5 4 4 4" xfId="11050" xr:uid="{D2F8C737-0EF9-41FA-8163-96AEB8BB6233}"/>
    <cellStyle name="Normal 2 4 5 4 5" xfId="2048" xr:uid="{00000000-0005-0000-0000-0000BB100000}"/>
    <cellStyle name="Normal 2 4 5 4 5 2" xfId="4277" xr:uid="{00000000-0005-0000-0000-0000BC100000}"/>
    <cellStyle name="Normal 2 4 5 4 5 2 2" xfId="8499" xr:uid="{00000000-0005-0000-0000-0000BD100000}"/>
    <cellStyle name="Normal 2 4 5 4 5 2 2 2" xfId="17825" xr:uid="{CA1EEB60-9AD5-4488-AF8B-5EC1F1C79416}"/>
    <cellStyle name="Normal 2 4 5 4 5 2 3" xfId="13608" xr:uid="{4FE0FF2E-C67F-49E1-A736-B3E21F804474}"/>
    <cellStyle name="Normal 2 4 5 4 5 3" xfId="6354" xr:uid="{00000000-0005-0000-0000-0000BE100000}"/>
    <cellStyle name="Normal 2 4 5 4 5 3 2" xfId="15680" xr:uid="{18A6B7CD-5504-40C0-815B-AC2223BC6AC2}"/>
    <cellStyle name="Normal 2 4 5 4 5 4" xfId="11463" xr:uid="{35468C7D-10BE-41E8-9FEF-55EAFAA25148}"/>
    <cellStyle name="Normal 2 4 5 4 6" xfId="2484" xr:uid="{00000000-0005-0000-0000-0000BF100000}"/>
    <cellStyle name="Normal 2 4 5 4 6 2" xfId="6767" xr:uid="{00000000-0005-0000-0000-0000C0100000}"/>
    <cellStyle name="Normal 2 4 5 4 6 2 2" xfId="16093" xr:uid="{2B68036F-D62F-4EDF-B177-B56ABEA003FB}"/>
    <cellStyle name="Normal 2 4 5 4 6 3" xfId="11876" xr:uid="{AE10EBEF-357B-44FB-96D1-0B9712A33856}"/>
    <cellStyle name="Normal 2 4 5 4 7" xfId="4701" xr:uid="{00000000-0005-0000-0000-0000C1100000}"/>
    <cellStyle name="Normal 2 4 5 4 7 2" xfId="14027" xr:uid="{7D4C6FE0-4E09-42AD-A193-6AC73197C86B}"/>
    <cellStyle name="Normal 2 4 5 4 8" xfId="8987" xr:uid="{8DC2C01A-3078-41AD-BCFB-AA1CA8EE9C0A}"/>
    <cellStyle name="Normal 2 4 5 4 8 2" xfId="18311" xr:uid="{A69FB566-8D0D-4ED3-8E28-388DAF9F084F}"/>
    <cellStyle name="Normal 2 4 5 4 9" xfId="9810" xr:uid="{8E51083A-85A4-4F0D-8AD7-2FA5A85552FB}"/>
    <cellStyle name="Normal 2 4 5 5" xfId="792" xr:uid="{00000000-0005-0000-0000-0000C2100000}"/>
    <cellStyle name="Normal 2 4 5 5 2" xfId="3031" xr:uid="{00000000-0005-0000-0000-0000C3100000}"/>
    <cellStyle name="Normal 2 4 5 5 2 2" xfId="7253" xr:uid="{00000000-0005-0000-0000-0000C4100000}"/>
    <cellStyle name="Normal 2 4 5 5 2 2 2" xfId="16579" xr:uid="{53041C55-8573-4321-9F77-475EA125799B}"/>
    <cellStyle name="Normal 2 4 5 5 2 3" xfId="12362" xr:uid="{E02A4F80-B78D-48AD-91C6-857A51885BDA}"/>
    <cellStyle name="Normal 2 4 5 5 3" xfId="5108" xr:uid="{00000000-0005-0000-0000-0000C5100000}"/>
    <cellStyle name="Normal 2 4 5 5 3 2" xfId="14434" xr:uid="{9A3E82AB-CCB5-46AC-B683-42278C0705F3}"/>
    <cellStyle name="Normal 2 4 5 5 4" xfId="9204" xr:uid="{BE34B337-03EE-47D8-9E35-2EE6FAB30236}"/>
    <cellStyle name="Normal 2 4 5 5 4 2" xfId="18520" xr:uid="{FBE49245-0053-4DB7-A742-F8C98DEE32CC}"/>
    <cellStyle name="Normal 2 4 5 5 5" xfId="10217" xr:uid="{B7C01DFC-96E3-4C75-A4DA-5A3DC989E260}"/>
    <cellStyle name="Normal 2 4 5 6" xfId="1214" xr:uid="{00000000-0005-0000-0000-0000C6100000}"/>
    <cellStyle name="Normal 2 4 5 6 2" xfId="3444" xr:uid="{00000000-0005-0000-0000-0000C7100000}"/>
    <cellStyle name="Normal 2 4 5 6 2 2" xfId="7666" xr:uid="{00000000-0005-0000-0000-0000C8100000}"/>
    <cellStyle name="Normal 2 4 5 6 2 2 2" xfId="16992" xr:uid="{46525788-FFCA-42DB-9AB7-40FCA2CECF0B}"/>
    <cellStyle name="Normal 2 4 5 6 2 3" xfId="12775" xr:uid="{ABBB877E-E7BC-4AF6-A505-21F96105BF1E}"/>
    <cellStyle name="Normal 2 4 5 6 3" xfId="5521" xr:uid="{00000000-0005-0000-0000-0000C9100000}"/>
    <cellStyle name="Normal 2 4 5 6 3 2" xfId="14847" xr:uid="{6330AF23-1B9A-4A61-B0F1-442F08CB3148}"/>
    <cellStyle name="Normal 2 4 5 6 4" xfId="10630" xr:uid="{3C47CF78-126C-4F2A-8171-B1B9DF3F4758}"/>
    <cellStyle name="Normal 2 4 5 7" xfId="1627" xr:uid="{00000000-0005-0000-0000-0000CA100000}"/>
    <cellStyle name="Normal 2 4 5 7 2" xfId="3857" xr:uid="{00000000-0005-0000-0000-0000CB100000}"/>
    <cellStyle name="Normal 2 4 5 7 2 2" xfId="8079" xr:uid="{00000000-0005-0000-0000-0000CC100000}"/>
    <cellStyle name="Normal 2 4 5 7 2 2 2" xfId="17405" xr:uid="{FE216EFD-FC17-4970-A300-CC171366C81A}"/>
    <cellStyle name="Normal 2 4 5 7 2 3" xfId="13188" xr:uid="{C78BA083-EA44-4954-9AB1-877ED003CB1C}"/>
    <cellStyle name="Normal 2 4 5 7 3" xfId="5934" xr:uid="{00000000-0005-0000-0000-0000CD100000}"/>
    <cellStyle name="Normal 2 4 5 7 3 2" xfId="15260" xr:uid="{9BB37E14-2DFE-44A7-A30B-39EC48EEB009}"/>
    <cellStyle name="Normal 2 4 5 7 4" xfId="11043" xr:uid="{F3B43F68-C8FC-430A-A8AC-52CABFED3DCE}"/>
    <cellStyle name="Normal 2 4 5 8" xfId="2041" xr:uid="{00000000-0005-0000-0000-0000CE100000}"/>
    <cellStyle name="Normal 2 4 5 8 2" xfId="4270" xr:uid="{00000000-0005-0000-0000-0000CF100000}"/>
    <cellStyle name="Normal 2 4 5 8 2 2" xfId="8492" xr:uid="{00000000-0005-0000-0000-0000D0100000}"/>
    <cellStyle name="Normal 2 4 5 8 2 2 2" xfId="17818" xr:uid="{75CBCF4D-EAAC-4507-8AD7-88EC2A449011}"/>
    <cellStyle name="Normal 2 4 5 8 2 3" xfId="13601" xr:uid="{6D58A8A9-92C5-4529-9FBE-A07B7A58DEBB}"/>
    <cellStyle name="Normal 2 4 5 8 3" xfId="6347" xr:uid="{00000000-0005-0000-0000-0000D1100000}"/>
    <cellStyle name="Normal 2 4 5 8 3 2" xfId="15673" xr:uid="{88741499-923D-4576-B1D5-34141EBF0DB9}"/>
    <cellStyle name="Normal 2 4 5 8 4" xfId="11456" xr:uid="{855F89CA-3D83-497D-B575-7EC9FD0B86B6}"/>
    <cellStyle name="Normal 2 4 5 9" xfId="2477" xr:uid="{00000000-0005-0000-0000-0000D2100000}"/>
    <cellStyle name="Normal 2 4 5 9 2" xfId="6760" xr:uid="{00000000-0005-0000-0000-0000D3100000}"/>
    <cellStyle name="Normal 2 4 5 9 2 2" xfId="16086" xr:uid="{225E437D-4D4F-4B58-B6EF-E2B001AD9DE8}"/>
    <cellStyle name="Normal 2 4 5 9 3" xfId="11869" xr:uid="{EFDABE8B-FB9A-446B-A57D-6A0E473B263A}"/>
    <cellStyle name="Normal 2 4 6" xfId="311" xr:uid="{00000000-0005-0000-0000-0000D4100000}"/>
    <cellStyle name="Normal 2 4 7" xfId="312" xr:uid="{00000000-0005-0000-0000-0000D5100000}"/>
    <cellStyle name="Normal 2 4 7 10" xfId="9811" xr:uid="{CE64BE68-0AB6-4BD0-8B8D-D634EB344406}"/>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2 2 2" xfId="16588" xr:uid="{2A694658-0C87-4FFB-9B36-859F68D9BFBC}"/>
    <cellStyle name="Normal 2 4 7 2 2 2 3" xfId="12371" xr:uid="{C88AF6BA-C2C5-4921-8A31-C8B532753ECC}"/>
    <cellStyle name="Normal 2 4 7 2 2 3" xfId="5117" xr:uid="{00000000-0005-0000-0000-0000DA100000}"/>
    <cellStyle name="Normal 2 4 7 2 2 3 2" xfId="14443" xr:uid="{2A482676-604C-47EE-895C-96C2575F366B}"/>
    <cellStyle name="Normal 2 4 7 2 2 4" xfId="9483" xr:uid="{3D7EFF6F-050D-4214-91CB-DF2673F23584}"/>
    <cellStyle name="Normal 2 4 7 2 2 4 2" xfId="18798" xr:uid="{31A028CC-6214-4E70-AD0A-C8FADB330EAA}"/>
    <cellStyle name="Normal 2 4 7 2 2 5" xfId="10226" xr:uid="{E056A418-2461-4CA8-A836-F9849C57A67B}"/>
    <cellStyle name="Normal 2 4 7 2 3" xfId="1223" xr:uid="{00000000-0005-0000-0000-0000DB100000}"/>
    <cellStyle name="Normal 2 4 7 2 3 2" xfId="3453" xr:uid="{00000000-0005-0000-0000-0000DC100000}"/>
    <cellStyle name="Normal 2 4 7 2 3 2 2" xfId="7675" xr:uid="{00000000-0005-0000-0000-0000DD100000}"/>
    <cellStyle name="Normal 2 4 7 2 3 2 2 2" xfId="17001" xr:uid="{EBB05038-2AA1-400F-B6F4-EE7A3C4F8C21}"/>
    <cellStyle name="Normal 2 4 7 2 3 2 3" xfId="12784" xr:uid="{5F273788-322C-4F08-9F1B-37B146161582}"/>
    <cellStyle name="Normal 2 4 7 2 3 3" xfId="5530" xr:uid="{00000000-0005-0000-0000-0000DE100000}"/>
    <cellStyle name="Normal 2 4 7 2 3 3 2" xfId="14856" xr:uid="{50C7D92E-FFEF-4CAE-A3A9-BD8191FB6786}"/>
    <cellStyle name="Normal 2 4 7 2 3 4" xfId="10639" xr:uid="{92FE67D6-021A-4821-825B-3C71EB3AC28A}"/>
    <cellStyle name="Normal 2 4 7 2 4" xfId="1636" xr:uid="{00000000-0005-0000-0000-0000DF100000}"/>
    <cellStyle name="Normal 2 4 7 2 4 2" xfId="3866" xr:uid="{00000000-0005-0000-0000-0000E0100000}"/>
    <cellStyle name="Normal 2 4 7 2 4 2 2" xfId="8088" xr:uid="{00000000-0005-0000-0000-0000E1100000}"/>
    <cellStyle name="Normal 2 4 7 2 4 2 2 2" xfId="17414" xr:uid="{E810D8AC-57F6-4DEF-9137-9F7D856403B9}"/>
    <cellStyle name="Normal 2 4 7 2 4 2 3" xfId="13197" xr:uid="{A041B8F5-1A38-490D-9AD5-08468F9D920B}"/>
    <cellStyle name="Normal 2 4 7 2 4 3" xfId="5943" xr:uid="{00000000-0005-0000-0000-0000E2100000}"/>
    <cellStyle name="Normal 2 4 7 2 4 3 2" xfId="15269" xr:uid="{F9B6F0D9-7848-479F-B730-23C8194C1414}"/>
    <cellStyle name="Normal 2 4 7 2 4 4" xfId="11052" xr:uid="{70F85C71-139B-4FE2-BBB1-D832ADE96730}"/>
    <cellStyle name="Normal 2 4 7 2 5" xfId="2050" xr:uid="{00000000-0005-0000-0000-0000E3100000}"/>
    <cellStyle name="Normal 2 4 7 2 5 2" xfId="4279" xr:uid="{00000000-0005-0000-0000-0000E4100000}"/>
    <cellStyle name="Normal 2 4 7 2 5 2 2" xfId="8501" xr:uid="{00000000-0005-0000-0000-0000E5100000}"/>
    <cellStyle name="Normal 2 4 7 2 5 2 2 2" xfId="17827" xr:uid="{7A3A0349-3774-466C-A10B-076D5EBC38D9}"/>
    <cellStyle name="Normal 2 4 7 2 5 2 3" xfId="13610" xr:uid="{794F9746-0D3D-40D6-AE68-D29D64C9FF02}"/>
    <cellStyle name="Normal 2 4 7 2 5 3" xfId="6356" xr:uid="{00000000-0005-0000-0000-0000E6100000}"/>
    <cellStyle name="Normal 2 4 7 2 5 3 2" xfId="15682" xr:uid="{4A8E918F-3E09-4C22-AEBA-B932DD2A0652}"/>
    <cellStyle name="Normal 2 4 7 2 5 4" xfId="11465" xr:uid="{4991DC89-3A31-4FF3-A502-F97343FF92A1}"/>
    <cellStyle name="Normal 2 4 7 2 6" xfId="2486" xr:uid="{00000000-0005-0000-0000-0000E7100000}"/>
    <cellStyle name="Normal 2 4 7 2 6 2" xfId="6769" xr:uid="{00000000-0005-0000-0000-0000E8100000}"/>
    <cellStyle name="Normal 2 4 7 2 6 2 2" xfId="16095" xr:uid="{E0C1FB1A-57B3-4483-87E0-D0ACA6CD690C}"/>
    <cellStyle name="Normal 2 4 7 2 6 3" xfId="11878" xr:uid="{777B52BC-5A90-43A5-9DE3-246F922D2EB3}"/>
    <cellStyle name="Normal 2 4 7 2 7" xfId="4703" xr:uid="{00000000-0005-0000-0000-0000E9100000}"/>
    <cellStyle name="Normal 2 4 7 2 7 2" xfId="14029" xr:uid="{73B4A8D0-7E8C-4A10-AE4A-6525E8BFC3CD}"/>
    <cellStyle name="Normal 2 4 7 2 8" xfId="9058" xr:uid="{FCEC438E-EF6A-4A00-BFE3-0DA309169A82}"/>
    <cellStyle name="Normal 2 4 7 2 8 2" xfId="18382" xr:uid="{B91F517F-2F7E-4E3D-A616-49A57CCB2609}"/>
    <cellStyle name="Normal 2 4 7 2 9" xfId="9812" xr:uid="{03502AA6-802C-4296-831E-7CF8FC44073E}"/>
    <cellStyle name="Normal 2 4 7 3" xfId="800" xr:uid="{00000000-0005-0000-0000-0000EA100000}"/>
    <cellStyle name="Normal 2 4 7 3 2" xfId="3039" xr:uid="{00000000-0005-0000-0000-0000EB100000}"/>
    <cellStyle name="Normal 2 4 7 3 2 2" xfId="7261" xr:uid="{00000000-0005-0000-0000-0000EC100000}"/>
    <cellStyle name="Normal 2 4 7 3 2 2 2" xfId="16587" xr:uid="{E83DD8F4-5503-4E24-B229-2328714EFFE7}"/>
    <cellStyle name="Normal 2 4 7 3 2 3" xfId="12370" xr:uid="{51D64FD1-F48D-42FD-B7C4-1A20D30B3D8C}"/>
    <cellStyle name="Normal 2 4 7 3 3" xfId="5116" xr:uid="{00000000-0005-0000-0000-0000ED100000}"/>
    <cellStyle name="Normal 2 4 7 3 3 2" xfId="14442" xr:uid="{A07B6B38-53A7-471C-92F0-F5E6C8AA1B0A}"/>
    <cellStyle name="Normal 2 4 7 3 4" xfId="9276" xr:uid="{90A81E61-1719-41E4-8673-7681E805C2E0}"/>
    <cellStyle name="Normal 2 4 7 3 4 2" xfId="18591" xr:uid="{21DE606D-A2EC-4920-B90A-F000608105BA}"/>
    <cellStyle name="Normal 2 4 7 3 5" xfId="10225" xr:uid="{BF48C452-EE78-43F9-918D-C8C7E9BE0E7F}"/>
    <cellStyle name="Normal 2 4 7 4" xfId="1222" xr:uid="{00000000-0005-0000-0000-0000EE100000}"/>
    <cellStyle name="Normal 2 4 7 4 2" xfId="3452" xr:uid="{00000000-0005-0000-0000-0000EF100000}"/>
    <cellStyle name="Normal 2 4 7 4 2 2" xfId="7674" xr:uid="{00000000-0005-0000-0000-0000F0100000}"/>
    <cellStyle name="Normal 2 4 7 4 2 2 2" xfId="17000" xr:uid="{C085D839-F5C6-406E-9BF1-EB4C71D9FBBB}"/>
    <cellStyle name="Normal 2 4 7 4 2 3" xfId="12783" xr:uid="{04EB6863-6EE7-4969-B0F7-95C481CEEDBE}"/>
    <cellStyle name="Normal 2 4 7 4 3" xfId="5529" xr:uid="{00000000-0005-0000-0000-0000F1100000}"/>
    <cellStyle name="Normal 2 4 7 4 3 2" xfId="14855" xr:uid="{1BF8CDA3-FE35-4A8F-BD89-0EFC6A24E60E}"/>
    <cellStyle name="Normal 2 4 7 4 4" xfId="10638" xr:uid="{C9192B4C-92E2-414C-82D3-BEEAE24DD328}"/>
    <cellStyle name="Normal 2 4 7 5" xfId="1635" xr:uid="{00000000-0005-0000-0000-0000F2100000}"/>
    <cellStyle name="Normal 2 4 7 5 2" xfId="3865" xr:uid="{00000000-0005-0000-0000-0000F3100000}"/>
    <cellStyle name="Normal 2 4 7 5 2 2" xfId="8087" xr:uid="{00000000-0005-0000-0000-0000F4100000}"/>
    <cellStyle name="Normal 2 4 7 5 2 2 2" xfId="17413" xr:uid="{2311C04A-882C-4408-AB7C-39AC9DD3123F}"/>
    <cellStyle name="Normal 2 4 7 5 2 3" xfId="13196" xr:uid="{D3A1F6FB-FF81-4C0C-B6A8-34C689200358}"/>
    <cellStyle name="Normal 2 4 7 5 3" xfId="5942" xr:uid="{00000000-0005-0000-0000-0000F5100000}"/>
    <cellStyle name="Normal 2 4 7 5 3 2" xfId="15268" xr:uid="{D8D6BF80-9A2A-4B9E-9BB2-A00D31753F6C}"/>
    <cellStyle name="Normal 2 4 7 5 4" xfId="11051" xr:uid="{F2E875C3-85EB-4903-9542-93F39F4C1A09}"/>
    <cellStyle name="Normal 2 4 7 6" xfId="2049" xr:uid="{00000000-0005-0000-0000-0000F6100000}"/>
    <cellStyle name="Normal 2 4 7 6 2" xfId="4278" xr:uid="{00000000-0005-0000-0000-0000F7100000}"/>
    <cellStyle name="Normal 2 4 7 6 2 2" xfId="8500" xr:uid="{00000000-0005-0000-0000-0000F8100000}"/>
    <cellStyle name="Normal 2 4 7 6 2 2 2" xfId="17826" xr:uid="{B6058BD0-9989-43B0-9FE8-D61F0B0B7ED3}"/>
    <cellStyle name="Normal 2 4 7 6 2 3" xfId="13609" xr:uid="{97309418-2406-4963-9FB4-3F7DF32921CD}"/>
    <cellStyle name="Normal 2 4 7 6 3" xfId="6355" xr:uid="{00000000-0005-0000-0000-0000F9100000}"/>
    <cellStyle name="Normal 2 4 7 6 3 2" xfId="15681" xr:uid="{B63755A7-9DA7-4FE2-BD19-CAF041A34059}"/>
    <cellStyle name="Normal 2 4 7 6 4" xfId="11464" xr:uid="{4C2DF76D-B43D-459F-B278-FD679B102FEB}"/>
    <cellStyle name="Normal 2 4 7 7" xfId="2485" xr:uid="{00000000-0005-0000-0000-0000FA100000}"/>
    <cellStyle name="Normal 2 4 7 7 2" xfId="6768" xr:uid="{00000000-0005-0000-0000-0000FB100000}"/>
    <cellStyle name="Normal 2 4 7 7 2 2" xfId="16094" xr:uid="{1D5D44AC-A78E-4B59-B3C4-F610456B3916}"/>
    <cellStyle name="Normal 2 4 7 7 3" xfId="11877" xr:uid="{5C0E7293-CB6D-4C47-AB2A-95DF9C8B4A77}"/>
    <cellStyle name="Normal 2 4 7 8" xfId="4702" xr:uid="{00000000-0005-0000-0000-0000FC100000}"/>
    <cellStyle name="Normal 2 4 7 8 2" xfId="14028" xr:uid="{5F3AA8A1-66CF-48D7-AC26-A939ABFD64CD}"/>
    <cellStyle name="Normal 2 4 7 9" xfId="8851" xr:uid="{6946A6C1-9296-4D8F-B36F-8F7964FD7AC6}"/>
    <cellStyle name="Normal 2 4 7 9 2" xfId="18175" xr:uid="{504C47AA-BCFE-418F-80D2-BE00CFE3C70A}"/>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2 2 2" xfId="16589" xr:uid="{03D688D6-029D-4A06-A0D1-07334546241F}"/>
    <cellStyle name="Normal 2 4 8 2 2 3" xfId="12372" xr:uid="{1479D2A2-16A4-409C-ABEB-1976483AB706}"/>
    <cellStyle name="Normal 2 4 8 2 3" xfId="5118" xr:uid="{00000000-0005-0000-0000-000001110000}"/>
    <cellStyle name="Normal 2 4 8 2 3 2" xfId="14444" xr:uid="{C121E421-8B5C-44BF-8D37-9E1551F63461}"/>
    <cellStyle name="Normal 2 4 8 2 4" xfId="9392" xr:uid="{812B973E-E5C9-43CD-85B0-C8CA30BD9BF3}"/>
    <cellStyle name="Normal 2 4 8 2 4 2" xfId="18707" xr:uid="{2111C315-F10D-4EF8-ACF0-4466E19DF947}"/>
    <cellStyle name="Normal 2 4 8 2 5" xfId="10227" xr:uid="{D07EE565-2B75-4EBD-AFC7-984FB3E1DA40}"/>
    <cellStyle name="Normal 2 4 8 3" xfId="1224" xr:uid="{00000000-0005-0000-0000-000002110000}"/>
    <cellStyle name="Normal 2 4 8 3 2" xfId="3454" xr:uid="{00000000-0005-0000-0000-000003110000}"/>
    <cellStyle name="Normal 2 4 8 3 2 2" xfId="7676" xr:uid="{00000000-0005-0000-0000-000004110000}"/>
    <cellStyle name="Normal 2 4 8 3 2 2 2" xfId="17002" xr:uid="{7B4D5D74-CEEF-4BC9-9B74-1669F4773854}"/>
    <cellStyle name="Normal 2 4 8 3 2 3" xfId="12785" xr:uid="{5B0F57CE-0F18-4CC9-B096-BA3F3138369F}"/>
    <cellStyle name="Normal 2 4 8 3 3" xfId="5531" xr:uid="{00000000-0005-0000-0000-000005110000}"/>
    <cellStyle name="Normal 2 4 8 3 3 2" xfId="14857" xr:uid="{A7C5FBB7-4C6F-4024-981E-F19DEAB386E0}"/>
    <cellStyle name="Normal 2 4 8 3 4" xfId="10640" xr:uid="{A8E1B928-F082-4D01-B719-DFF52A6938D6}"/>
    <cellStyle name="Normal 2 4 8 4" xfId="1637" xr:uid="{00000000-0005-0000-0000-000006110000}"/>
    <cellStyle name="Normal 2 4 8 4 2" xfId="3867" xr:uid="{00000000-0005-0000-0000-000007110000}"/>
    <cellStyle name="Normal 2 4 8 4 2 2" xfId="8089" xr:uid="{00000000-0005-0000-0000-000008110000}"/>
    <cellStyle name="Normal 2 4 8 4 2 2 2" xfId="17415" xr:uid="{7C7154F4-A6C4-4D48-B5F0-AA6DF399BB03}"/>
    <cellStyle name="Normal 2 4 8 4 2 3" xfId="13198" xr:uid="{3F9120F2-5E72-4711-B3AD-161953AD7949}"/>
    <cellStyle name="Normal 2 4 8 4 3" xfId="5944" xr:uid="{00000000-0005-0000-0000-000009110000}"/>
    <cellStyle name="Normal 2 4 8 4 3 2" xfId="15270" xr:uid="{42CDE95F-3A1B-4704-AC87-27DAAED705DE}"/>
    <cellStyle name="Normal 2 4 8 4 4" xfId="11053" xr:uid="{BB4C77BF-8A9A-4713-89DD-AD0DA472E27C}"/>
    <cellStyle name="Normal 2 4 8 5" xfId="2051" xr:uid="{00000000-0005-0000-0000-00000A110000}"/>
    <cellStyle name="Normal 2 4 8 5 2" xfId="4280" xr:uid="{00000000-0005-0000-0000-00000B110000}"/>
    <cellStyle name="Normal 2 4 8 5 2 2" xfId="8502" xr:uid="{00000000-0005-0000-0000-00000C110000}"/>
    <cellStyle name="Normal 2 4 8 5 2 2 2" xfId="17828" xr:uid="{954AC2D9-03FE-4693-80BE-03FD4681DEE6}"/>
    <cellStyle name="Normal 2 4 8 5 2 3" xfId="13611" xr:uid="{B5D03301-AFFC-4879-954B-6A017F63251F}"/>
    <cellStyle name="Normal 2 4 8 5 3" xfId="6357" xr:uid="{00000000-0005-0000-0000-00000D110000}"/>
    <cellStyle name="Normal 2 4 8 5 3 2" xfId="15683" xr:uid="{397E65B3-848D-4125-BCC0-BA7FC8007E20}"/>
    <cellStyle name="Normal 2 4 8 5 4" xfId="11466" xr:uid="{08310578-BD0A-4B52-B010-5315EFD845AC}"/>
    <cellStyle name="Normal 2 4 8 6" xfId="2487" xr:uid="{00000000-0005-0000-0000-00000E110000}"/>
    <cellStyle name="Normal 2 4 8 6 2" xfId="6770" xr:uid="{00000000-0005-0000-0000-00000F110000}"/>
    <cellStyle name="Normal 2 4 8 6 2 2" xfId="16096" xr:uid="{480FCDCB-DFCC-476F-824C-5213E807F771}"/>
    <cellStyle name="Normal 2 4 8 6 3" xfId="11879" xr:uid="{195F39E5-2395-40F2-B0A6-21D51545F9A0}"/>
    <cellStyle name="Normal 2 4 8 7" xfId="4704" xr:uid="{00000000-0005-0000-0000-000010110000}"/>
    <cellStyle name="Normal 2 4 8 7 2" xfId="14030" xr:uid="{0756A781-2188-4115-B55B-7FBA963356A2}"/>
    <cellStyle name="Normal 2 4 8 8" xfId="8967" xr:uid="{32AC97CD-D3FD-4AE1-A8B2-07BEA9D5DE52}"/>
    <cellStyle name="Normal 2 4 8 8 2" xfId="18291" xr:uid="{D878284E-A34A-4B79-8DBF-92453FD9EB53}"/>
    <cellStyle name="Normal 2 4 8 9" xfId="9813" xr:uid="{DA02A713-8C0C-41A4-8026-694D325CB2FB}"/>
    <cellStyle name="Normal 2 4 9" xfId="9170" xr:uid="{5569C060-E090-4551-A44D-517EC3FD1834}"/>
    <cellStyle name="Normal 2 4 9 2" xfId="18488" xr:uid="{E5860107-D798-459E-B3CE-8B7612CD47BF}"/>
    <cellStyle name="Normal 2 5" xfId="315" xr:uid="{00000000-0005-0000-0000-000011110000}"/>
    <cellStyle name="Normal 2 5 10" xfId="4705" xr:uid="{00000000-0005-0000-0000-000012110000}"/>
    <cellStyle name="Normal 2 5 10 2" xfId="14031" xr:uid="{E4B2B2C6-68F2-41D4-9DB8-F8594C969D26}"/>
    <cellStyle name="Normal 2 5 11" xfId="9814" xr:uid="{D378F716-4205-415F-9748-283C1F399904}"/>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10 2" xfId="18140" xr:uid="{11573F2F-9FC4-42B0-B5A8-474809072A80}"/>
    <cellStyle name="Normal 2 5 4 11" xfId="9815" xr:uid="{71C70112-918D-4BFB-A6FA-3E59A85853D0}"/>
    <cellStyle name="Normal 2 5 4 2" xfId="319" xr:uid="{00000000-0005-0000-0000-000016110000}"/>
    <cellStyle name="Normal 2 5 4 2 10" xfId="9816" xr:uid="{16ACF659-E9E8-40D6-AB08-7CDB544E4AE1}"/>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2 2 2" xfId="16593" xr:uid="{3CEBEF79-BB68-4ADE-989C-8ED9BE43969E}"/>
    <cellStyle name="Normal 2 5 4 2 2 2 2 3" xfId="12376" xr:uid="{ECAB1B3E-75A4-41E6-9518-3B09D74EDFF6}"/>
    <cellStyle name="Normal 2 5 4 2 2 2 3" xfId="5122" xr:uid="{00000000-0005-0000-0000-00001B110000}"/>
    <cellStyle name="Normal 2 5 4 2 2 2 3 2" xfId="14448" xr:uid="{E024783E-D1C1-4AB7-B8D1-F1DCE000B92A}"/>
    <cellStyle name="Normal 2 5 4 2 2 2 4" xfId="9551" xr:uid="{392D7741-6781-4EA5-9C28-040053C1B05B}"/>
    <cellStyle name="Normal 2 5 4 2 2 2 4 2" xfId="18866" xr:uid="{92E55956-5072-46AA-856D-BF65347DB263}"/>
    <cellStyle name="Normal 2 5 4 2 2 2 5" xfId="10231" xr:uid="{C11E1C13-4BC2-4F30-B7F5-569253A00626}"/>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2 2 2" xfId="17006" xr:uid="{C830C05A-D417-4F71-9916-B22FDC445167}"/>
    <cellStyle name="Normal 2 5 4 2 2 3 2 3" xfId="12789" xr:uid="{9FFA328F-076C-44A8-9277-5D3312E02276}"/>
    <cellStyle name="Normal 2 5 4 2 2 3 3" xfId="5535" xr:uid="{00000000-0005-0000-0000-00001F110000}"/>
    <cellStyle name="Normal 2 5 4 2 2 3 3 2" xfId="14861" xr:uid="{3C019818-0DB4-4996-B565-AFBF0C3C9C00}"/>
    <cellStyle name="Normal 2 5 4 2 2 3 4" xfId="10644" xr:uid="{F2851630-5740-4290-B90E-F8418D5F3FED}"/>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2 2 2" xfId="17419" xr:uid="{5E17799B-90F1-4142-B549-A3E8663EAF24}"/>
    <cellStyle name="Normal 2 5 4 2 2 4 2 3" xfId="13202" xr:uid="{F7FDBEC4-1C40-405F-8E51-33320B0E7588}"/>
    <cellStyle name="Normal 2 5 4 2 2 4 3" xfId="5948" xr:uid="{00000000-0005-0000-0000-000023110000}"/>
    <cellStyle name="Normal 2 5 4 2 2 4 3 2" xfId="15274" xr:uid="{099E6758-8845-4AF6-A857-C5719AE47943}"/>
    <cellStyle name="Normal 2 5 4 2 2 4 4" xfId="11057" xr:uid="{510EC1F5-142F-4134-B357-B61ECE620795}"/>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2 2 2" xfId="17832" xr:uid="{A200832B-4843-4106-A22C-3ED00CDCD269}"/>
    <cellStyle name="Normal 2 5 4 2 2 5 2 3" xfId="13615" xr:uid="{053732AE-62AD-4E3D-ACFE-378013AE48D1}"/>
    <cellStyle name="Normal 2 5 4 2 2 5 3" xfId="6361" xr:uid="{00000000-0005-0000-0000-000027110000}"/>
    <cellStyle name="Normal 2 5 4 2 2 5 3 2" xfId="15687" xr:uid="{8250EA1F-B11D-4247-AE2B-EA3350B798BF}"/>
    <cellStyle name="Normal 2 5 4 2 2 5 4" xfId="11470" xr:uid="{4C5DF5AD-2115-4745-9A96-ABB3AE8631C9}"/>
    <cellStyle name="Normal 2 5 4 2 2 6" xfId="2491" xr:uid="{00000000-0005-0000-0000-000028110000}"/>
    <cellStyle name="Normal 2 5 4 2 2 6 2" xfId="6774" xr:uid="{00000000-0005-0000-0000-000029110000}"/>
    <cellStyle name="Normal 2 5 4 2 2 6 2 2" xfId="16100" xr:uid="{C1D5F1EA-EDC5-4155-9146-4988AC036137}"/>
    <cellStyle name="Normal 2 5 4 2 2 6 3" xfId="11883" xr:uid="{3A802852-726E-483B-A8BA-2F03437E2429}"/>
    <cellStyle name="Normal 2 5 4 2 2 7" xfId="4708" xr:uid="{00000000-0005-0000-0000-00002A110000}"/>
    <cellStyle name="Normal 2 5 4 2 2 7 2" xfId="14034" xr:uid="{3A2662D0-4156-465D-876A-732C8A520F0D}"/>
    <cellStyle name="Normal 2 5 4 2 2 8" xfId="9126" xr:uid="{C2CF4AFD-4082-4555-941B-6E9759C32D63}"/>
    <cellStyle name="Normal 2 5 4 2 2 8 2" xfId="18450" xr:uid="{23076EDF-2535-41BC-8C32-225000BF2C78}"/>
    <cellStyle name="Normal 2 5 4 2 2 9" xfId="9817" xr:uid="{13489FBD-74A0-4382-A402-E721081DBCA3}"/>
    <cellStyle name="Normal 2 5 4 2 3" xfId="805" xr:uid="{00000000-0005-0000-0000-00002B110000}"/>
    <cellStyle name="Normal 2 5 4 2 3 2" xfId="3044" xr:uid="{00000000-0005-0000-0000-00002C110000}"/>
    <cellStyle name="Normal 2 5 4 2 3 2 2" xfId="7266" xr:uid="{00000000-0005-0000-0000-00002D110000}"/>
    <cellStyle name="Normal 2 5 4 2 3 2 2 2" xfId="16592" xr:uid="{30163DD8-9FFA-414E-9580-A006E39C3B9A}"/>
    <cellStyle name="Normal 2 5 4 2 3 2 3" xfId="12375" xr:uid="{4D13F334-FBCB-4ADF-A893-DD8E35ADF69F}"/>
    <cellStyle name="Normal 2 5 4 2 3 3" xfId="5121" xr:uid="{00000000-0005-0000-0000-00002E110000}"/>
    <cellStyle name="Normal 2 5 4 2 3 3 2" xfId="14447" xr:uid="{EBE6B04E-2217-4D47-8490-AA43621D0E43}"/>
    <cellStyle name="Normal 2 5 4 2 3 4" xfId="9344" xr:uid="{207B8A34-09D9-4349-A9C7-5A5A998C6B6F}"/>
    <cellStyle name="Normal 2 5 4 2 3 4 2" xfId="18659" xr:uid="{15A7FEE1-4328-4F5E-B7C2-C7D62D9B6B41}"/>
    <cellStyle name="Normal 2 5 4 2 3 5" xfId="10230" xr:uid="{83433B8B-EDB3-4209-B91E-04F1EDFB6519}"/>
    <cellStyle name="Normal 2 5 4 2 4" xfId="1227" xr:uid="{00000000-0005-0000-0000-00002F110000}"/>
    <cellStyle name="Normal 2 5 4 2 4 2" xfId="3457" xr:uid="{00000000-0005-0000-0000-000030110000}"/>
    <cellStyle name="Normal 2 5 4 2 4 2 2" xfId="7679" xr:uid="{00000000-0005-0000-0000-000031110000}"/>
    <cellStyle name="Normal 2 5 4 2 4 2 2 2" xfId="17005" xr:uid="{1790B976-B57D-4000-8900-F56A618247F6}"/>
    <cellStyle name="Normal 2 5 4 2 4 2 3" xfId="12788" xr:uid="{F99BCCF3-1639-4014-A8EC-EB3660F8AB1F}"/>
    <cellStyle name="Normal 2 5 4 2 4 3" xfId="5534" xr:uid="{00000000-0005-0000-0000-000032110000}"/>
    <cellStyle name="Normal 2 5 4 2 4 3 2" xfId="14860" xr:uid="{292C35E0-C3C4-4623-8B96-1F8CCD3D3392}"/>
    <cellStyle name="Normal 2 5 4 2 4 4" xfId="10643" xr:uid="{B6F39B71-FCAC-479A-AEDB-688239285B8A}"/>
    <cellStyle name="Normal 2 5 4 2 5" xfId="1640" xr:uid="{00000000-0005-0000-0000-000033110000}"/>
    <cellStyle name="Normal 2 5 4 2 5 2" xfId="3870" xr:uid="{00000000-0005-0000-0000-000034110000}"/>
    <cellStyle name="Normal 2 5 4 2 5 2 2" xfId="8092" xr:uid="{00000000-0005-0000-0000-000035110000}"/>
    <cellStyle name="Normal 2 5 4 2 5 2 2 2" xfId="17418" xr:uid="{92D9C4A9-6A63-40AD-9C70-F3A5E0D05ECA}"/>
    <cellStyle name="Normal 2 5 4 2 5 2 3" xfId="13201" xr:uid="{6B7400F0-6226-47BB-83E3-EB339EDD6031}"/>
    <cellStyle name="Normal 2 5 4 2 5 3" xfId="5947" xr:uid="{00000000-0005-0000-0000-000036110000}"/>
    <cellStyle name="Normal 2 5 4 2 5 3 2" xfId="15273" xr:uid="{560E9F8D-AF87-4714-AE8A-0182DE35F470}"/>
    <cellStyle name="Normal 2 5 4 2 5 4" xfId="11056" xr:uid="{92263A29-0DFE-4337-B077-2AEC41DA048D}"/>
    <cellStyle name="Normal 2 5 4 2 6" xfId="2054" xr:uid="{00000000-0005-0000-0000-000037110000}"/>
    <cellStyle name="Normal 2 5 4 2 6 2" xfId="4283" xr:uid="{00000000-0005-0000-0000-000038110000}"/>
    <cellStyle name="Normal 2 5 4 2 6 2 2" xfId="8505" xr:uid="{00000000-0005-0000-0000-000039110000}"/>
    <cellStyle name="Normal 2 5 4 2 6 2 2 2" xfId="17831" xr:uid="{A30FA174-2EC8-4290-81E1-B31854B837ED}"/>
    <cellStyle name="Normal 2 5 4 2 6 2 3" xfId="13614" xr:uid="{59C68DBA-9550-484E-91B1-9EE2E5A1E198}"/>
    <cellStyle name="Normal 2 5 4 2 6 3" xfId="6360" xr:uid="{00000000-0005-0000-0000-00003A110000}"/>
    <cellStyle name="Normal 2 5 4 2 6 3 2" xfId="15686" xr:uid="{D9738BCE-244B-4D93-BF8B-CB6E569BB7E9}"/>
    <cellStyle name="Normal 2 5 4 2 6 4" xfId="11469" xr:uid="{2383112C-16FB-4A5A-B69A-66AEFF3F3963}"/>
    <cellStyle name="Normal 2 5 4 2 7" xfId="2490" xr:uid="{00000000-0005-0000-0000-00003B110000}"/>
    <cellStyle name="Normal 2 5 4 2 7 2" xfId="6773" xr:uid="{00000000-0005-0000-0000-00003C110000}"/>
    <cellStyle name="Normal 2 5 4 2 7 2 2" xfId="16099" xr:uid="{F96FFBD9-E3E0-4493-AD67-763D5EB5B8FE}"/>
    <cellStyle name="Normal 2 5 4 2 7 3" xfId="11882" xr:uid="{922F93A0-41BB-4D9F-B876-07920D374AF2}"/>
    <cellStyle name="Normal 2 5 4 2 8" xfId="4707" xr:uid="{00000000-0005-0000-0000-00003D110000}"/>
    <cellStyle name="Normal 2 5 4 2 8 2" xfId="14033" xr:uid="{985AC69A-3C64-4952-BD0D-1DC152A95775}"/>
    <cellStyle name="Normal 2 5 4 2 9" xfId="8919" xr:uid="{2A8C96F6-0F22-4271-BCA3-7E5B2E35A54F}"/>
    <cellStyle name="Normal 2 5 4 2 9 2" xfId="18243" xr:uid="{1A57CD9D-C4CC-4757-8D40-FD4F3D463C02}"/>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2 2 2" xfId="16594" xr:uid="{2533EAD9-9D74-400C-928F-76776798E9EE}"/>
    <cellStyle name="Normal 2 5 4 3 2 2 3" xfId="12377" xr:uid="{A9F91704-74C7-4FA9-99C3-663D6ED0ED1C}"/>
    <cellStyle name="Normal 2 5 4 3 2 3" xfId="5123" xr:uid="{00000000-0005-0000-0000-000042110000}"/>
    <cellStyle name="Normal 2 5 4 3 2 3 2" xfId="14449" xr:uid="{2B3ABE04-9383-4049-AA50-9E980907D592}"/>
    <cellStyle name="Normal 2 5 4 3 2 4" xfId="9448" xr:uid="{0C1738F2-697E-4430-8A3F-E67747B3EDB0}"/>
    <cellStyle name="Normal 2 5 4 3 2 4 2" xfId="18763" xr:uid="{BF9DB73A-02EC-4096-86A5-8EC8B7CF812F}"/>
    <cellStyle name="Normal 2 5 4 3 2 5" xfId="10232" xr:uid="{00CBD346-C883-4C3B-ABAA-7DA02DFD0772}"/>
    <cellStyle name="Normal 2 5 4 3 3" xfId="1229" xr:uid="{00000000-0005-0000-0000-000043110000}"/>
    <cellStyle name="Normal 2 5 4 3 3 2" xfId="3459" xr:uid="{00000000-0005-0000-0000-000044110000}"/>
    <cellStyle name="Normal 2 5 4 3 3 2 2" xfId="7681" xr:uid="{00000000-0005-0000-0000-000045110000}"/>
    <cellStyle name="Normal 2 5 4 3 3 2 2 2" xfId="17007" xr:uid="{4E6F7C61-877F-49F7-9800-4218D2674032}"/>
    <cellStyle name="Normal 2 5 4 3 3 2 3" xfId="12790" xr:uid="{E3F0382E-20A7-4AAA-B525-B61AC938673D}"/>
    <cellStyle name="Normal 2 5 4 3 3 3" xfId="5536" xr:uid="{00000000-0005-0000-0000-000046110000}"/>
    <cellStyle name="Normal 2 5 4 3 3 3 2" xfId="14862" xr:uid="{569C7C21-DC91-499B-8513-A7ED6772A0A7}"/>
    <cellStyle name="Normal 2 5 4 3 3 4" xfId="10645" xr:uid="{C8ED5522-E6C8-4A53-8D58-9C281AB93B0D}"/>
    <cellStyle name="Normal 2 5 4 3 4" xfId="1642" xr:uid="{00000000-0005-0000-0000-000047110000}"/>
    <cellStyle name="Normal 2 5 4 3 4 2" xfId="3872" xr:uid="{00000000-0005-0000-0000-000048110000}"/>
    <cellStyle name="Normal 2 5 4 3 4 2 2" xfId="8094" xr:uid="{00000000-0005-0000-0000-000049110000}"/>
    <cellStyle name="Normal 2 5 4 3 4 2 2 2" xfId="17420" xr:uid="{DD943624-ECB2-434E-A21A-BDBE710AB2BE}"/>
    <cellStyle name="Normal 2 5 4 3 4 2 3" xfId="13203" xr:uid="{AD334F0A-EC63-4179-8418-5BF5F79D0790}"/>
    <cellStyle name="Normal 2 5 4 3 4 3" xfId="5949" xr:uid="{00000000-0005-0000-0000-00004A110000}"/>
    <cellStyle name="Normal 2 5 4 3 4 3 2" xfId="15275" xr:uid="{F52EB5E0-B3CE-4E1D-8A92-6DCAF629CE7D}"/>
    <cellStyle name="Normal 2 5 4 3 4 4" xfId="11058" xr:uid="{23384496-2F3D-41CE-AB7C-86B6413152EA}"/>
    <cellStyle name="Normal 2 5 4 3 5" xfId="2056" xr:uid="{00000000-0005-0000-0000-00004B110000}"/>
    <cellStyle name="Normal 2 5 4 3 5 2" xfId="4285" xr:uid="{00000000-0005-0000-0000-00004C110000}"/>
    <cellStyle name="Normal 2 5 4 3 5 2 2" xfId="8507" xr:uid="{00000000-0005-0000-0000-00004D110000}"/>
    <cellStyle name="Normal 2 5 4 3 5 2 2 2" xfId="17833" xr:uid="{9AC61B1C-59E8-42C7-98AF-397CDC42BAF0}"/>
    <cellStyle name="Normal 2 5 4 3 5 2 3" xfId="13616" xr:uid="{C201F365-6385-4DF6-8B03-24B6B1DCB538}"/>
    <cellStyle name="Normal 2 5 4 3 5 3" xfId="6362" xr:uid="{00000000-0005-0000-0000-00004E110000}"/>
    <cellStyle name="Normal 2 5 4 3 5 3 2" xfId="15688" xr:uid="{25267529-CDF1-409A-8D71-BDF1F87C1F7E}"/>
    <cellStyle name="Normal 2 5 4 3 5 4" xfId="11471" xr:uid="{ACC2D0D8-AB45-4C3E-9410-1B149A4B4329}"/>
    <cellStyle name="Normal 2 5 4 3 6" xfId="2492" xr:uid="{00000000-0005-0000-0000-00004F110000}"/>
    <cellStyle name="Normal 2 5 4 3 6 2" xfId="6775" xr:uid="{00000000-0005-0000-0000-000050110000}"/>
    <cellStyle name="Normal 2 5 4 3 6 2 2" xfId="16101" xr:uid="{F4BB09AF-008C-4603-A663-379EAF3FCCDA}"/>
    <cellStyle name="Normal 2 5 4 3 6 3" xfId="11884" xr:uid="{B85A5A9E-CF65-42AD-A9E1-B870CD360FB5}"/>
    <cellStyle name="Normal 2 5 4 3 7" xfId="4709" xr:uid="{00000000-0005-0000-0000-000051110000}"/>
    <cellStyle name="Normal 2 5 4 3 7 2" xfId="14035" xr:uid="{27E31810-AEB5-451C-BFA0-5C7C8A07A7E3}"/>
    <cellStyle name="Normal 2 5 4 3 8" xfId="9023" xr:uid="{9B869639-3DD4-4511-AD70-D5125D34938F}"/>
    <cellStyle name="Normal 2 5 4 3 8 2" xfId="18347" xr:uid="{9ADD59CA-A5BA-4DE0-A5FD-88BA683625B8}"/>
    <cellStyle name="Normal 2 5 4 3 9" xfId="9818" xr:uid="{6AD8B998-F75C-4D2E-90AD-A03B24ECC763}"/>
    <cellStyle name="Normal 2 5 4 4" xfId="804" xr:uid="{00000000-0005-0000-0000-000052110000}"/>
    <cellStyle name="Normal 2 5 4 4 2" xfId="3043" xr:uid="{00000000-0005-0000-0000-000053110000}"/>
    <cellStyle name="Normal 2 5 4 4 2 2" xfId="7265" xr:uid="{00000000-0005-0000-0000-000054110000}"/>
    <cellStyle name="Normal 2 5 4 4 2 2 2" xfId="16591" xr:uid="{F8CA7444-9529-4ABE-A32C-47A472396E3B}"/>
    <cellStyle name="Normal 2 5 4 4 2 3" xfId="12374" xr:uid="{6FFF9F63-343B-4B0F-8E76-9F24BD212D84}"/>
    <cellStyle name="Normal 2 5 4 4 3" xfId="5120" xr:uid="{00000000-0005-0000-0000-000055110000}"/>
    <cellStyle name="Normal 2 5 4 4 3 2" xfId="14446" xr:uid="{0BC6A7F7-C9BB-408E-8930-D4323108917C}"/>
    <cellStyle name="Normal 2 5 4 4 4" xfId="9241" xr:uid="{2BD2F05F-E4C9-46B4-B3C9-F0D081C1F38F}"/>
    <cellStyle name="Normal 2 5 4 4 4 2" xfId="18556" xr:uid="{A30ED6BD-4C24-4476-A23A-87A9BC23F3D8}"/>
    <cellStyle name="Normal 2 5 4 4 5" xfId="10229" xr:uid="{5AB158AD-0FC3-4D6F-ACAC-1F66430340DF}"/>
    <cellStyle name="Normal 2 5 4 5" xfId="1226" xr:uid="{00000000-0005-0000-0000-000056110000}"/>
    <cellStyle name="Normal 2 5 4 5 2" xfId="3456" xr:uid="{00000000-0005-0000-0000-000057110000}"/>
    <cellStyle name="Normal 2 5 4 5 2 2" xfId="7678" xr:uid="{00000000-0005-0000-0000-000058110000}"/>
    <cellStyle name="Normal 2 5 4 5 2 2 2" xfId="17004" xr:uid="{95F93318-B83B-4A8E-9E4D-708AE2560059}"/>
    <cellStyle name="Normal 2 5 4 5 2 3" xfId="12787" xr:uid="{7D01F634-45E5-48F2-8AA4-7F5DA579C1D3}"/>
    <cellStyle name="Normal 2 5 4 5 3" xfId="5533" xr:uid="{00000000-0005-0000-0000-000059110000}"/>
    <cellStyle name="Normal 2 5 4 5 3 2" xfId="14859" xr:uid="{2A6D051C-50A7-4B93-BA85-B9D45C1A5BB5}"/>
    <cellStyle name="Normal 2 5 4 5 4" xfId="10642" xr:uid="{BC334856-339B-4209-9127-DEDF6928A559}"/>
    <cellStyle name="Normal 2 5 4 6" xfId="1639" xr:uid="{00000000-0005-0000-0000-00005A110000}"/>
    <cellStyle name="Normal 2 5 4 6 2" xfId="3869" xr:uid="{00000000-0005-0000-0000-00005B110000}"/>
    <cellStyle name="Normal 2 5 4 6 2 2" xfId="8091" xr:uid="{00000000-0005-0000-0000-00005C110000}"/>
    <cellStyle name="Normal 2 5 4 6 2 2 2" xfId="17417" xr:uid="{FED36253-B37F-48A1-924A-68AC4F6573AE}"/>
    <cellStyle name="Normal 2 5 4 6 2 3" xfId="13200" xr:uid="{FFEC039D-A30D-446C-B324-A5BB8D3674CC}"/>
    <cellStyle name="Normal 2 5 4 6 3" xfId="5946" xr:uid="{00000000-0005-0000-0000-00005D110000}"/>
    <cellStyle name="Normal 2 5 4 6 3 2" xfId="15272" xr:uid="{E3B4264B-26FE-4ED6-A111-91212D6ED380}"/>
    <cellStyle name="Normal 2 5 4 6 4" xfId="11055" xr:uid="{F45273E1-25DB-4BA2-A4E6-A22D5D07B6B0}"/>
    <cellStyle name="Normal 2 5 4 7" xfId="2053" xr:uid="{00000000-0005-0000-0000-00005E110000}"/>
    <cellStyle name="Normal 2 5 4 7 2" xfId="4282" xr:uid="{00000000-0005-0000-0000-00005F110000}"/>
    <cellStyle name="Normal 2 5 4 7 2 2" xfId="8504" xr:uid="{00000000-0005-0000-0000-000060110000}"/>
    <cellStyle name="Normal 2 5 4 7 2 2 2" xfId="17830" xr:uid="{042F8105-A31F-4E9F-A983-F1170BC4744F}"/>
    <cellStyle name="Normal 2 5 4 7 2 3" xfId="13613" xr:uid="{93BA9BC5-25D8-4E8C-A939-70F7F2DAD897}"/>
    <cellStyle name="Normal 2 5 4 7 3" xfId="6359" xr:uid="{00000000-0005-0000-0000-000061110000}"/>
    <cellStyle name="Normal 2 5 4 7 3 2" xfId="15685" xr:uid="{17B6D3E8-4E3E-4EEF-81EF-8707E6A35CB6}"/>
    <cellStyle name="Normal 2 5 4 7 4" xfId="11468" xr:uid="{E63CEEF0-87F2-4240-86A7-B312AC59EAB5}"/>
    <cellStyle name="Normal 2 5 4 8" xfId="2489" xr:uid="{00000000-0005-0000-0000-000062110000}"/>
    <cellStyle name="Normal 2 5 4 8 2" xfId="6772" xr:uid="{00000000-0005-0000-0000-000063110000}"/>
    <cellStyle name="Normal 2 5 4 8 2 2" xfId="16098" xr:uid="{F1AD9EA5-CCBE-4A07-AC29-02472DE5E93D}"/>
    <cellStyle name="Normal 2 5 4 8 3" xfId="11881" xr:uid="{38768CF2-0B2E-4A80-B5F3-3E81FE6081F8}"/>
    <cellStyle name="Normal 2 5 4 9" xfId="4706" xr:uid="{00000000-0005-0000-0000-000064110000}"/>
    <cellStyle name="Normal 2 5 4 9 2" xfId="14032" xr:uid="{A105EAE3-19FE-4B59-B0CB-7B5975D06643}"/>
    <cellStyle name="Normal 2 5 5" xfId="803" xr:uid="{00000000-0005-0000-0000-000065110000}"/>
    <cellStyle name="Normal 2 5 5 2" xfId="3042" xr:uid="{00000000-0005-0000-0000-000066110000}"/>
    <cellStyle name="Normal 2 5 5 2 2" xfId="7264" xr:uid="{00000000-0005-0000-0000-000067110000}"/>
    <cellStyle name="Normal 2 5 5 2 2 2" xfId="16590" xr:uid="{8DE752C7-2B08-420D-B1F9-0E19A3856364}"/>
    <cellStyle name="Normal 2 5 5 2 3" xfId="12373" xr:uid="{70581900-A2DA-4BCA-906B-628040C20832}"/>
    <cellStyle name="Normal 2 5 5 3" xfId="5119" xr:uid="{00000000-0005-0000-0000-000068110000}"/>
    <cellStyle name="Normal 2 5 5 3 2" xfId="14445" xr:uid="{D80E0FC9-42F8-4220-926F-D0634AC9103C}"/>
    <cellStyle name="Normal 2 5 5 4" xfId="9606" xr:uid="{3AE4D77A-44EE-40C2-9F71-05FBDE2746B2}"/>
    <cellStyle name="Normal 2 5 5 4 2" xfId="18907" xr:uid="{2C5D0DF2-44F6-4F1A-B9ED-5C44BEF9EE9C}"/>
    <cellStyle name="Normal 2 5 5 5" xfId="10228" xr:uid="{51B3ECD7-8220-411B-B92B-B8E91C1E77D1}"/>
    <cellStyle name="Normal 2 5 6" xfId="1225" xr:uid="{00000000-0005-0000-0000-000069110000}"/>
    <cellStyle name="Normal 2 5 6 2" xfId="3455" xr:uid="{00000000-0005-0000-0000-00006A110000}"/>
    <cellStyle name="Normal 2 5 6 2 2" xfId="7677" xr:uid="{00000000-0005-0000-0000-00006B110000}"/>
    <cellStyle name="Normal 2 5 6 2 2 2" xfId="17003" xr:uid="{63C505A9-C2C9-4597-A3BE-8B14E14347BC}"/>
    <cellStyle name="Normal 2 5 6 2 3" xfId="12786" xr:uid="{C93DA1CF-2777-46F4-88FB-BED240A2A16E}"/>
    <cellStyle name="Normal 2 5 6 3" xfId="5532" xr:uid="{00000000-0005-0000-0000-00006C110000}"/>
    <cellStyle name="Normal 2 5 6 3 2" xfId="14858" xr:uid="{46C5F365-6348-4E47-84F4-637F13E2D821}"/>
    <cellStyle name="Normal 2 5 6 4" xfId="10641" xr:uid="{9E5418BD-51F5-426C-9D50-30E0DF3C79C0}"/>
    <cellStyle name="Normal 2 5 7" xfId="1638" xr:uid="{00000000-0005-0000-0000-00006D110000}"/>
    <cellStyle name="Normal 2 5 7 2" xfId="3868" xr:uid="{00000000-0005-0000-0000-00006E110000}"/>
    <cellStyle name="Normal 2 5 7 2 2" xfId="8090" xr:uid="{00000000-0005-0000-0000-00006F110000}"/>
    <cellStyle name="Normal 2 5 7 2 2 2" xfId="17416" xr:uid="{98F8118D-F3A9-433F-A55A-C05C2704393E}"/>
    <cellStyle name="Normal 2 5 7 2 3" xfId="13199" xr:uid="{2E86F53D-B550-4BF1-865C-822D7C61CCDB}"/>
    <cellStyle name="Normal 2 5 7 3" xfId="5945" xr:uid="{00000000-0005-0000-0000-000070110000}"/>
    <cellStyle name="Normal 2 5 7 3 2" xfId="15271" xr:uid="{78EAE6B6-AD43-42E7-9090-6356F312005A}"/>
    <cellStyle name="Normal 2 5 7 4" xfId="11054" xr:uid="{D6A6F090-9C8C-41D7-9D96-CD437BF17CF7}"/>
    <cellStyle name="Normal 2 5 8" xfId="2052" xr:uid="{00000000-0005-0000-0000-000071110000}"/>
    <cellStyle name="Normal 2 5 8 2" xfId="4281" xr:uid="{00000000-0005-0000-0000-000072110000}"/>
    <cellStyle name="Normal 2 5 8 2 2" xfId="8503" xr:uid="{00000000-0005-0000-0000-000073110000}"/>
    <cellStyle name="Normal 2 5 8 2 2 2" xfId="17829" xr:uid="{5F847D0F-1B10-4AE6-BB09-0E52319FE81F}"/>
    <cellStyle name="Normal 2 5 8 2 3" xfId="13612" xr:uid="{91ABA877-F2EC-436E-B0E0-0E20CCD76458}"/>
    <cellStyle name="Normal 2 5 8 3" xfId="6358" xr:uid="{00000000-0005-0000-0000-000074110000}"/>
    <cellStyle name="Normal 2 5 8 3 2" xfId="15684" xr:uid="{4BD7DF3D-E45A-4051-81FF-1A5D1535181A}"/>
    <cellStyle name="Normal 2 5 8 4" xfId="11467" xr:uid="{D91FC755-74A3-4553-8849-6673B49D2786}"/>
    <cellStyle name="Normal 2 5 9" xfId="2488" xr:uid="{00000000-0005-0000-0000-000075110000}"/>
    <cellStyle name="Normal 2 5 9 2" xfId="6771" xr:uid="{00000000-0005-0000-0000-000076110000}"/>
    <cellStyle name="Normal 2 5 9 2 2" xfId="16097" xr:uid="{88999C62-4C9D-4AC8-8879-9A357281D516}"/>
    <cellStyle name="Normal 2 5 9 3" xfId="11880" xr:uid="{271F764A-1DDE-49A8-85D1-3265F1398765}"/>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7 3 2" xfId="18479" xr:uid="{6CD4FCDA-266D-47AD-B381-D80708F9A9D2}"/>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10" xfId="9819" xr:uid="{64DA92AA-F8C5-4674-925D-23DDDFFF1B9D}"/>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10 2" xfId="18141" xr:uid="{9F98144E-9DC4-45D4-A672-7A4DF830F624}"/>
    <cellStyle name="Normal 3 2 3 11" xfId="9820" xr:uid="{BA7B663F-4BE4-4E77-B65A-B4BAD1BA8149}"/>
    <cellStyle name="Normal 3 2 3 2" xfId="327" xr:uid="{00000000-0005-0000-0000-00007F110000}"/>
    <cellStyle name="Normal 3 2 3 2 10" xfId="9821" xr:uid="{5DE5F46F-842D-4816-9C0D-58134E0A7487}"/>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2 2 2" xfId="16598" xr:uid="{556F97DA-B626-4ED9-A4C2-2F262618AEB8}"/>
    <cellStyle name="Normal 3 2 3 2 2 2 2 3" xfId="12381" xr:uid="{3D17C8E0-FCCD-4A7D-8FB9-12FDB59A20A0}"/>
    <cellStyle name="Normal 3 2 3 2 2 2 3" xfId="5127" xr:uid="{00000000-0005-0000-0000-000084110000}"/>
    <cellStyle name="Normal 3 2 3 2 2 2 3 2" xfId="14453" xr:uid="{B2D4D17C-ED5E-43BE-BD31-BE5929098CA2}"/>
    <cellStyle name="Normal 3 2 3 2 2 2 4" xfId="9552" xr:uid="{54198C1B-8B77-4C07-BFED-28C4D4E00A0C}"/>
    <cellStyle name="Normal 3 2 3 2 2 2 4 2" xfId="18867" xr:uid="{95B80B65-DAAC-4E4F-B09B-3DF5DAC94FBB}"/>
    <cellStyle name="Normal 3 2 3 2 2 2 5" xfId="10236" xr:uid="{C7804BDB-AD8D-4BED-AE5A-59AB7997CE68}"/>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2 2 2" xfId="17011" xr:uid="{D8CED2BA-E3D1-4F13-902D-169FA44D740F}"/>
    <cellStyle name="Normal 3 2 3 2 2 3 2 3" xfId="12794" xr:uid="{4CFB73E1-77B5-4675-82FD-58C9A0E58201}"/>
    <cellStyle name="Normal 3 2 3 2 2 3 3" xfId="5540" xr:uid="{00000000-0005-0000-0000-000088110000}"/>
    <cellStyle name="Normal 3 2 3 2 2 3 3 2" xfId="14866" xr:uid="{743539C9-4AF4-45D0-8106-E23A7B8595E4}"/>
    <cellStyle name="Normal 3 2 3 2 2 3 4" xfId="10649" xr:uid="{67AEF71F-C173-40DF-84D0-AC70846267FC}"/>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2 2 2" xfId="17424" xr:uid="{69BE6B1A-DB2A-4536-848C-482F4A43AC43}"/>
    <cellStyle name="Normal 3 2 3 2 2 4 2 3" xfId="13207" xr:uid="{883EC6D0-30EA-4431-B573-8BCC4B74A3E9}"/>
    <cellStyle name="Normal 3 2 3 2 2 4 3" xfId="5953" xr:uid="{00000000-0005-0000-0000-00008C110000}"/>
    <cellStyle name="Normal 3 2 3 2 2 4 3 2" xfId="15279" xr:uid="{5E373B10-A70F-4EFA-86F1-524E91E1F101}"/>
    <cellStyle name="Normal 3 2 3 2 2 4 4" xfId="11062" xr:uid="{EF3E8E5A-2BB4-408A-B21E-A9B90CAFD171}"/>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2 2 2" xfId="17837" xr:uid="{10A6A60E-F2C2-4D70-9E28-28EFEB3870BD}"/>
    <cellStyle name="Normal 3 2 3 2 2 5 2 3" xfId="13620" xr:uid="{B7A91218-8CC0-4791-81D5-DCF29B84A632}"/>
    <cellStyle name="Normal 3 2 3 2 2 5 3" xfId="6366" xr:uid="{00000000-0005-0000-0000-000090110000}"/>
    <cellStyle name="Normal 3 2 3 2 2 5 3 2" xfId="15692" xr:uid="{4537C5D9-6CDD-4F1D-9748-C6F1E050BA1F}"/>
    <cellStyle name="Normal 3 2 3 2 2 5 4" xfId="11475" xr:uid="{E4743637-A74C-4361-B435-9D2B92A3E9DD}"/>
    <cellStyle name="Normal 3 2 3 2 2 6" xfId="2496" xr:uid="{00000000-0005-0000-0000-000091110000}"/>
    <cellStyle name="Normal 3 2 3 2 2 6 2" xfId="6779" xr:uid="{00000000-0005-0000-0000-000092110000}"/>
    <cellStyle name="Normal 3 2 3 2 2 6 2 2" xfId="16105" xr:uid="{DCCD7BE2-8A1A-4DBA-AC73-F9829EB77778}"/>
    <cellStyle name="Normal 3 2 3 2 2 6 3" xfId="11888" xr:uid="{9266D6F1-6133-4A7E-BE15-749F228B4EB0}"/>
    <cellStyle name="Normal 3 2 3 2 2 7" xfId="4713" xr:uid="{00000000-0005-0000-0000-000093110000}"/>
    <cellStyle name="Normal 3 2 3 2 2 7 2" xfId="14039" xr:uid="{F2E9D9B0-B703-4EDD-A3FC-38DB56672B57}"/>
    <cellStyle name="Normal 3 2 3 2 2 8" xfId="9127" xr:uid="{0583B12A-AAD6-4358-9C0C-42D6EBC3DFD8}"/>
    <cellStyle name="Normal 3 2 3 2 2 8 2" xfId="18451" xr:uid="{9CE49849-42D4-4DB2-B8F9-1F0880574DC3}"/>
    <cellStyle name="Normal 3 2 3 2 2 9" xfId="9822" xr:uid="{3C1E2212-BC95-4461-B6C6-5D829E3ADB6F}"/>
    <cellStyle name="Normal 3 2 3 2 3" xfId="812" xr:uid="{00000000-0005-0000-0000-000094110000}"/>
    <cellStyle name="Normal 3 2 3 2 3 2" xfId="3049" xr:uid="{00000000-0005-0000-0000-000095110000}"/>
    <cellStyle name="Normal 3 2 3 2 3 2 2" xfId="7271" xr:uid="{00000000-0005-0000-0000-000096110000}"/>
    <cellStyle name="Normal 3 2 3 2 3 2 2 2" xfId="16597" xr:uid="{FEA3C592-25C6-428A-BCCB-4DE70AD9AC32}"/>
    <cellStyle name="Normal 3 2 3 2 3 2 3" xfId="12380" xr:uid="{8765BD20-AAC9-43BF-AC98-04CE389390F4}"/>
    <cellStyle name="Normal 3 2 3 2 3 3" xfId="5126" xr:uid="{00000000-0005-0000-0000-000097110000}"/>
    <cellStyle name="Normal 3 2 3 2 3 3 2" xfId="14452" xr:uid="{58129FA7-FEA4-4509-B38A-00F28A00402B}"/>
    <cellStyle name="Normal 3 2 3 2 3 4" xfId="9345" xr:uid="{C34A3811-3C7F-4E99-A17A-CCF74A426C86}"/>
    <cellStyle name="Normal 3 2 3 2 3 4 2" xfId="18660" xr:uid="{6E5DF9AF-58FF-49E4-AFE5-4A7E112E4C9A}"/>
    <cellStyle name="Normal 3 2 3 2 3 5" xfId="10235" xr:uid="{E13E18AC-A856-4080-B7D5-0B4D75D09DB0}"/>
    <cellStyle name="Normal 3 2 3 2 4" xfId="1232" xr:uid="{00000000-0005-0000-0000-000098110000}"/>
    <cellStyle name="Normal 3 2 3 2 4 2" xfId="3462" xr:uid="{00000000-0005-0000-0000-000099110000}"/>
    <cellStyle name="Normal 3 2 3 2 4 2 2" xfId="7684" xr:uid="{00000000-0005-0000-0000-00009A110000}"/>
    <cellStyle name="Normal 3 2 3 2 4 2 2 2" xfId="17010" xr:uid="{3F9DC67E-773C-4460-8481-F535CC425A02}"/>
    <cellStyle name="Normal 3 2 3 2 4 2 3" xfId="12793" xr:uid="{3C8CE777-763C-4AB3-A0A0-73EE808BFF75}"/>
    <cellStyle name="Normal 3 2 3 2 4 3" xfId="5539" xr:uid="{00000000-0005-0000-0000-00009B110000}"/>
    <cellStyle name="Normal 3 2 3 2 4 3 2" xfId="14865" xr:uid="{BE542585-46A5-4EC6-9EEE-E5B95EBCC077}"/>
    <cellStyle name="Normal 3 2 3 2 4 4" xfId="10648" xr:uid="{1DAA4319-DCD9-4041-B59B-C01C1CD2BC95}"/>
    <cellStyle name="Normal 3 2 3 2 5" xfId="1645" xr:uid="{00000000-0005-0000-0000-00009C110000}"/>
    <cellStyle name="Normal 3 2 3 2 5 2" xfId="3875" xr:uid="{00000000-0005-0000-0000-00009D110000}"/>
    <cellStyle name="Normal 3 2 3 2 5 2 2" xfId="8097" xr:uid="{00000000-0005-0000-0000-00009E110000}"/>
    <cellStyle name="Normal 3 2 3 2 5 2 2 2" xfId="17423" xr:uid="{0B32FDA7-750C-46E2-94CD-234CE923CF92}"/>
    <cellStyle name="Normal 3 2 3 2 5 2 3" xfId="13206" xr:uid="{914C81DF-6D60-4EB7-BDCE-560C0E0457D0}"/>
    <cellStyle name="Normal 3 2 3 2 5 3" xfId="5952" xr:uid="{00000000-0005-0000-0000-00009F110000}"/>
    <cellStyle name="Normal 3 2 3 2 5 3 2" xfId="15278" xr:uid="{8C1ECC72-450E-466E-A86A-A3230617C3B0}"/>
    <cellStyle name="Normal 3 2 3 2 5 4" xfId="11061" xr:uid="{345F2A91-B891-4FBE-B0C9-288F0928CE64}"/>
    <cellStyle name="Normal 3 2 3 2 6" xfId="2059" xr:uid="{00000000-0005-0000-0000-0000A0110000}"/>
    <cellStyle name="Normal 3 2 3 2 6 2" xfId="4288" xr:uid="{00000000-0005-0000-0000-0000A1110000}"/>
    <cellStyle name="Normal 3 2 3 2 6 2 2" xfId="8510" xr:uid="{00000000-0005-0000-0000-0000A2110000}"/>
    <cellStyle name="Normal 3 2 3 2 6 2 2 2" xfId="17836" xr:uid="{9F72910F-69F8-4DA0-A7B6-94626F5E1E13}"/>
    <cellStyle name="Normal 3 2 3 2 6 2 3" xfId="13619" xr:uid="{E81E2FA2-B286-4BA5-9BE0-BD664B388907}"/>
    <cellStyle name="Normal 3 2 3 2 6 3" xfId="6365" xr:uid="{00000000-0005-0000-0000-0000A3110000}"/>
    <cellStyle name="Normal 3 2 3 2 6 3 2" xfId="15691" xr:uid="{D5403906-24CB-4B1D-9AC6-0364DF5FCE46}"/>
    <cellStyle name="Normal 3 2 3 2 6 4" xfId="11474" xr:uid="{B323C5FF-7C74-4D76-A55B-CCA146B822AE}"/>
    <cellStyle name="Normal 3 2 3 2 7" xfId="2495" xr:uid="{00000000-0005-0000-0000-0000A4110000}"/>
    <cellStyle name="Normal 3 2 3 2 7 2" xfId="6778" xr:uid="{00000000-0005-0000-0000-0000A5110000}"/>
    <cellStyle name="Normal 3 2 3 2 7 2 2" xfId="16104" xr:uid="{D6D2D2FB-3701-48F3-8F8D-177E5B5548EF}"/>
    <cellStyle name="Normal 3 2 3 2 7 3" xfId="11887" xr:uid="{BD629D21-3460-4FEE-9D1B-7707752F9DB5}"/>
    <cellStyle name="Normal 3 2 3 2 8" xfId="4712" xr:uid="{00000000-0005-0000-0000-0000A6110000}"/>
    <cellStyle name="Normal 3 2 3 2 8 2" xfId="14038" xr:uid="{FDB9D5C7-5FD9-4466-A13D-4D502BACFEB7}"/>
    <cellStyle name="Normal 3 2 3 2 9" xfId="8920" xr:uid="{D9E0825A-068A-435C-BDBE-2C0571A11FAF}"/>
    <cellStyle name="Normal 3 2 3 2 9 2" xfId="18244" xr:uid="{36759007-370C-4E0E-B0B0-F9C7BEF172F3}"/>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2 2 2" xfId="16599" xr:uid="{747A9CBF-2EC4-4428-950E-4CC91A98A635}"/>
    <cellStyle name="Normal 3 2 3 3 2 2 3" xfId="12382" xr:uid="{31C198FE-A36F-4DB2-A55C-17B701EF36FA}"/>
    <cellStyle name="Normal 3 2 3 3 2 3" xfId="5128" xr:uid="{00000000-0005-0000-0000-0000AB110000}"/>
    <cellStyle name="Normal 3 2 3 3 2 3 2" xfId="14454" xr:uid="{1A548415-446C-40CF-A5FB-C620F924EA21}"/>
    <cellStyle name="Normal 3 2 3 3 2 4" xfId="9449" xr:uid="{7F58A2DC-DF16-44D1-8D09-04DD41EF4468}"/>
    <cellStyle name="Normal 3 2 3 3 2 4 2" xfId="18764" xr:uid="{6A8F35C5-902D-4D36-B42F-1CEB3BA5AF47}"/>
    <cellStyle name="Normal 3 2 3 3 2 5" xfId="10237" xr:uid="{2D28C4C2-A400-4DBE-99FC-B846D03173AC}"/>
    <cellStyle name="Normal 3 2 3 3 3" xfId="1234" xr:uid="{00000000-0005-0000-0000-0000AC110000}"/>
    <cellStyle name="Normal 3 2 3 3 3 2" xfId="3464" xr:uid="{00000000-0005-0000-0000-0000AD110000}"/>
    <cellStyle name="Normal 3 2 3 3 3 2 2" xfId="7686" xr:uid="{00000000-0005-0000-0000-0000AE110000}"/>
    <cellStyle name="Normal 3 2 3 3 3 2 2 2" xfId="17012" xr:uid="{EB26C0DE-8290-406F-AE0E-BD6B238442D7}"/>
    <cellStyle name="Normal 3 2 3 3 3 2 3" xfId="12795" xr:uid="{A572DB02-6934-44A8-AAC1-45CD74C90885}"/>
    <cellStyle name="Normal 3 2 3 3 3 3" xfId="5541" xr:uid="{00000000-0005-0000-0000-0000AF110000}"/>
    <cellStyle name="Normal 3 2 3 3 3 3 2" xfId="14867" xr:uid="{0F1FB7D1-7A63-4373-A062-5974624519C0}"/>
    <cellStyle name="Normal 3 2 3 3 3 4" xfId="10650" xr:uid="{1DEE6198-D8D2-4228-B7A3-82BE84F55149}"/>
    <cellStyle name="Normal 3 2 3 3 4" xfId="1647" xr:uid="{00000000-0005-0000-0000-0000B0110000}"/>
    <cellStyle name="Normal 3 2 3 3 4 2" xfId="3877" xr:uid="{00000000-0005-0000-0000-0000B1110000}"/>
    <cellStyle name="Normal 3 2 3 3 4 2 2" xfId="8099" xr:uid="{00000000-0005-0000-0000-0000B2110000}"/>
    <cellStyle name="Normal 3 2 3 3 4 2 2 2" xfId="17425" xr:uid="{30F4DC25-ED97-41DC-ACE8-8A6F34C90B0E}"/>
    <cellStyle name="Normal 3 2 3 3 4 2 3" xfId="13208" xr:uid="{4661802F-0ADF-4C8C-8964-30CACEB0E66A}"/>
    <cellStyle name="Normal 3 2 3 3 4 3" xfId="5954" xr:uid="{00000000-0005-0000-0000-0000B3110000}"/>
    <cellStyle name="Normal 3 2 3 3 4 3 2" xfId="15280" xr:uid="{76E86CF3-A370-4F05-BB85-D189750AF311}"/>
    <cellStyle name="Normal 3 2 3 3 4 4" xfId="11063" xr:uid="{F1D49628-2CFD-462B-92E0-6F80961F147C}"/>
    <cellStyle name="Normal 3 2 3 3 5" xfId="2061" xr:uid="{00000000-0005-0000-0000-0000B4110000}"/>
    <cellStyle name="Normal 3 2 3 3 5 2" xfId="4290" xr:uid="{00000000-0005-0000-0000-0000B5110000}"/>
    <cellStyle name="Normal 3 2 3 3 5 2 2" xfId="8512" xr:uid="{00000000-0005-0000-0000-0000B6110000}"/>
    <cellStyle name="Normal 3 2 3 3 5 2 2 2" xfId="17838" xr:uid="{A121BAFA-B70F-4826-AD25-976020B92077}"/>
    <cellStyle name="Normal 3 2 3 3 5 2 3" xfId="13621" xr:uid="{06759A01-53D8-434B-BC3A-DA45FA7370F2}"/>
    <cellStyle name="Normal 3 2 3 3 5 3" xfId="6367" xr:uid="{00000000-0005-0000-0000-0000B7110000}"/>
    <cellStyle name="Normal 3 2 3 3 5 3 2" xfId="15693" xr:uid="{60864B75-4004-42AC-8EBC-392AF6C61622}"/>
    <cellStyle name="Normal 3 2 3 3 5 4" xfId="11476" xr:uid="{944F75F1-518E-4BBA-960D-D8DE490801B7}"/>
    <cellStyle name="Normal 3 2 3 3 6" xfId="2497" xr:uid="{00000000-0005-0000-0000-0000B8110000}"/>
    <cellStyle name="Normal 3 2 3 3 6 2" xfId="6780" xr:uid="{00000000-0005-0000-0000-0000B9110000}"/>
    <cellStyle name="Normal 3 2 3 3 6 2 2" xfId="16106" xr:uid="{F0A20852-9363-461F-8D09-D1FD4616E4CF}"/>
    <cellStyle name="Normal 3 2 3 3 6 3" xfId="11889" xr:uid="{0FC1B1B3-18A9-421B-9DC8-E2CCE9D5D229}"/>
    <cellStyle name="Normal 3 2 3 3 7" xfId="4714" xr:uid="{00000000-0005-0000-0000-0000BA110000}"/>
    <cellStyle name="Normal 3 2 3 3 7 2" xfId="14040" xr:uid="{705BCB17-C746-4A4C-BA3B-40C45A5C3EB0}"/>
    <cellStyle name="Normal 3 2 3 3 8" xfId="9024" xr:uid="{AE2F680F-18A3-47B5-ADCF-6BEAD71D50CE}"/>
    <cellStyle name="Normal 3 2 3 3 8 2" xfId="18348" xr:uid="{0EFAC930-D5C4-4EE8-85DB-C8541B7D8664}"/>
    <cellStyle name="Normal 3 2 3 3 9" xfId="9823" xr:uid="{0A664647-19C6-445D-A1D9-8F98DDCAED19}"/>
    <cellStyle name="Normal 3 2 3 4" xfId="811" xr:uid="{00000000-0005-0000-0000-0000BB110000}"/>
    <cellStyle name="Normal 3 2 3 4 2" xfId="3048" xr:uid="{00000000-0005-0000-0000-0000BC110000}"/>
    <cellStyle name="Normal 3 2 3 4 2 2" xfId="7270" xr:uid="{00000000-0005-0000-0000-0000BD110000}"/>
    <cellStyle name="Normal 3 2 3 4 2 2 2" xfId="16596" xr:uid="{01FAFB4E-4319-468E-8B62-191F8B00E265}"/>
    <cellStyle name="Normal 3 2 3 4 2 3" xfId="12379" xr:uid="{86F48C5E-CCF3-4AFB-81A3-F219D04EC193}"/>
    <cellStyle name="Normal 3 2 3 4 3" xfId="5125" xr:uid="{00000000-0005-0000-0000-0000BE110000}"/>
    <cellStyle name="Normal 3 2 3 4 3 2" xfId="14451" xr:uid="{923B7BAE-30FE-45A2-B66D-12A0EA42CF4F}"/>
    <cellStyle name="Normal 3 2 3 4 4" xfId="9242" xr:uid="{05AEEDFF-7EEB-40DB-B13D-145C971A771B}"/>
    <cellStyle name="Normal 3 2 3 4 4 2" xfId="18557" xr:uid="{B7B4FFC5-7EAA-4175-8EF1-23DF34F46A28}"/>
    <cellStyle name="Normal 3 2 3 4 5" xfId="10234" xr:uid="{519DC64E-5A3F-4EB7-85BE-D392C495D3AF}"/>
    <cellStyle name="Normal 3 2 3 5" xfId="1231" xr:uid="{00000000-0005-0000-0000-0000BF110000}"/>
    <cellStyle name="Normal 3 2 3 5 2" xfId="3461" xr:uid="{00000000-0005-0000-0000-0000C0110000}"/>
    <cellStyle name="Normal 3 2 3 5 2 2" xfId="7683" xr:uid="{00000000-0005-0000-0000-0000C1110000}"/>
    <cellStyle name="Normal 3 2 3 5 2 2 2" xfId="17009" xr:uid="{FF38F20F-DFBA-4553-8F57-EDD3BA29FA8B}"/>
    <cellStyle name="Normal 3 2 3 5 2 3" xfId="12792" xr:uid="{78C5CD0E-73E9-4601-A458-684D07210419}"/>
    <cellStyle name="Normal 3 2 3 5 3" xfId="5538" xr:uid="{00000000-0005-0000-0000-0000C2110000}"/>
    <cellStyle name="Normal 3 2 3 5 3 2" xfId="14864" xr:uid="{17A9E267-AFCB-4D4B-8437-AABE72E7B926}"/>
    <cellStyle name="Normal 3 2 3 5 4" xfId="10647" xr:uid="{3618C598-3756-4AC9-9D13-4A5A4BBDB860}"/>
    <cellStyle name="Normal 3 2 3 6" xfId="1644" xr:uid="{00000000-0005-0000-0000-0000C3110000}"/>
    <cellStyle name="Normal 3 2 3 6 2" xfId="3874" xr:uid="{00000000-0005-0000-0000-0000C4110000}"/>
    <cellStyle name="Normal 3 2 3 6 2 2" xfId="8096" xr:uid="{00000000-0005-0000-0000-0000C5110000}"/>
    <cellStyle name="Normal 3 2 3 6 2 2 2" xfId="17422" xr:uid="{2FC83471-7143-448E-8207-B6C96A7DD770}"/>
    <cellStyle name="Normal 3 2 3 6 2 3" xfId="13205" xr:uid="{BF527F48-562E-4E69-BF2D-DA7D9EBB3F50}"/>
    <cellStyle name="Normal 3 2 3 6 3" xfId="5951" xr:uid="{00000000-0005-0000-0000-0000C6110000}"/>
    <cellStyle name="Normal 3 2 3 6 3 2" xfId="15277" xr:uid="{74793017-DADB-4749-85AC-960F29600EE2}"/>
    <cellStyle name="Normal 3 2 3 6 4" xfId="11060" xr:uid="{E832F6BE-EFEC-4D71-9370-808088984855}"/>
    <cellStyle name="Normal 3 2 3 7" xfId="2058" xr:uid="{00000000-0005-0000-0000-0000C7110000}"/>
    <cellStyle name="Normal 3 2 3 7 2" xfId="4287" xr:uid="{00000000-0005-0000-0000-0000C8110000}"/>
    <cellStyle name="Normal 3 2 3 7 2 2" xfId="8509" xr:uid="{00000000-0005-0000-0000-0000C9110000}"/>
    <cellStyle name="Normal 3 2 3 7 2 2 2" xfId="17835" xr:uid="{FB161B08-4E7F-4B47-AE41-C9ACBA574E64}"/>
    <cellStyle name="Normal 3 2 3 7 2 3" xfId="13618" xr:uid="{B6982205-CD66-4F97-9571-F26F7D70E797}"/>
    <cellStyle name="Normal 3 2 3 7 3" xfId="6364" xr:uid="{00000000-0005-0000-0000-0000CA110000}"/>
    <cellStyle name="Normal 3 2 3 7 3 2" xfId="15690" xr:uid="{B7041AFB-4798-4422-A984-E2A83AA9AFE9}"/>
    <cellStyle name="Normal 3 2 3 7 4" xfId="11473" xr:uid="{F2B803A2-F1BE-473F-8DEB-095FD8CF9AB3}"/>
    <cellStyle name="Normal 3 2 3 8" xfId="2494" xr:uid="{00000000-0005-0000-0000-0000CB110000}"/>
    <cellStyle name="Normal 3 2 3 8 2" xfId="6777" xr:uid="{00000000-0005-0000-0000-0000CC110000}"/>
    <cellStyle name="Normal 3 2 3 8 2 2" xfId="16103" xr:uid="{DE7CEFBA-76A4-4896-BC9C-41D77D70E15D}"/>
    <cellStyle name="Normal 3 2 3 8 3" xfId="11886" xr:uid="{10083506-A8FF-41C8-A165-60025389A224}"/>
    <cellStyle name="Normal 3 2 3 9" xfId="4711" xr:uid="{00000000-0005-0000-0000-0000CD110000}"/>
    <cellStyle name="Normal 3 2 3 9 2" xfId="14037" xr:uid="{C2B5D103-5D25-47F7-AB62-ECCCF909A180}"/>
    <cellStyle name="Normal 3 2 4" xfId="809" xr:uid="{00000000-0005-0000-0000-0000CE110000}"/>
    <cellStyle name="Normal 3 2 4 2" xfId="3047" xr:uid="{00000000-0005-0000-0000-0000CF110000}"/>
    <cellStyle name="Normal 3 2 4 2 2" xfId="7269" xr:uid="{00000000-0005-0000-0000-0000D0110000}"/>
    <cellStyle name="Normal 3 2 4 2 2 2" xfId="16595" xr:uid="{B079EDB1-78CE-4F28-8025-448279C99685}"/>
    <cellStyle name="Normal 3 2 4 2 3" xfId="12378" xr:uid="{71D9D067-4CFC-410A-9822-03E08BCDFB72}"/>
    <cellStyle name="Normal 3 2 4 3" xfId="5124" xr:uid="{00000000-0005-0000-0000-0000D1110000}"/>
    <cellStyle name="Normal 3 2 4 3 2" xfId="14450" xr:uid="{541DC431-34DA-405F-9ED5-7ED1F5305471}"/>
    <cellStyle name="Normal 3 2 4 4" xfId="9607" xr:uid="{7D769806-7069-4B8D-8CAC-B3B91BBA8D64}"/>
    <cellStyle name="Normal 3 2 4 4 2" xfId="18908" xr:uid="{373D91D1-B3F3-40EB-AB08-720CC46B52F1}"/>
    <cellStyle name="Normal 3 2 4 5" xfId="10233" xr:uid="{FFDB1A03-93C9-4F1D-8DAD-2F567BFC18E7}"/>
    <cellStyle name="Normal 3 2 5" xfId="1230" xr:uid="{00000000-0005-0000-0000-0000D2110000}"/>
    <cellStyle name="Normal 3 2 5 2" xfId="3460" xr:uid="{00000000-0005-0000-0000-0000D3110000}"/>
    <cellStyle name="Normal 3 2 5 2 2" xfId="7682" xr:uid="{00000000-0005-0000-0000-0000D4110000}"/>
    <cellStyle name="Normal 3 2 5 2 2 2" xfId="17008" xr:uid="{7DDF2A4D-AFF6-4AEF-914C-4054DDA2E098}"/>
    <cellStyle name="Normal 3 2 5 2 3" xfId="12791" xr:uid="{72349F1A-7959-4D39-A4F6-3ECEE03433E2}"/>
    <cellStyle name="Normal 3 2 5 3" xfId="5537" xr:uid="{00000000-0005-0000-0000-0000D5110000}"/>
    <cellStyle name="Normal 3 2 5 3 2" xfId="14863" xr:uid="{D9DB57B4-BEDE-4837-86E8-089866DC9115}"/>
    <cellStyle name="Normal 3 2 5 4" xfId="10646" xr:uid="{1BBBD6AC-7883-45A6-BDF5-0685E7AAF468}"/>
    <cellStyle name="Normal 3 2 6" xfId="1643" xr:uid="{00000000-0005-0000-0000-0000D6110000}"/>
    <cellStyle name="Normal 3 2 6 2" xfId="3873" xr:uid="{00000000-0005-0000-0000-0000D7110000}"/>
    <cellStyle name="Normal 3 2 6 2 2" xfId="8095" xr:uid="{00000000-0005-0000-0000-0000D8110000}"/>
    <cellStyle name="Normal 3 2 6 2 2 2" xfId="17421" xr:uid="{CAF4CB66-8F9E-47CD-9C43-BA281D7D7177}"/>
    <cellStyle name="Normal 3 2 6 2 3" xfId="13204" xr:uid="{D259BAD8-7666-4CE0-99B6-F7D60147E0E9}"/>
    <cellStyle name="Normal 3 2 6 3" xfId="5950" xr:uid="{00000000-0005-0000-0000-0000D9110000}"/>
    <cellStyle name="Normal 3 2 6 3 2" xfId="15276" xr:uid="{DB7E8F5E-3C8F-45D3-9FF1-5FCF80ED28BA}"/>
    <cellStyle name="Normal 3 2 6 4" xfId="11059" xr:uid="{C685358D-D927-4D92-A203-C076FF92EE10}"/>
    <cellStyle name="Normal 3 2 7" xfId="2057" xr:uid="{00000000-0005-0000-0000-0000DA110000}"/>
    <cellStyle name="Normal 3 2 7 2" xfId="4286" xr:uid="{00000000-0005-0000-0000-0000DB110000}"/>
    <cellStyle name="Normal 3 2 7 2 2" xfId="8508" xr:uid="{00000000-0005-0000-0000-0000DC110000}"/>
    <cellStyle name="Normal 3 2 7 2 2 2" xfId="17834" xr:uid="{3D7E0F0C-5776-4CC8-9DC7-F9C84A0893DE}"/>
    <cellStyle name="Normal 3 2 7 2 3" xfId="13617" xr:uid="{1D170799-044D-45B6-A9FD-D96C377BD020}"/>
    <cellStyle name="Normal 3 2 7 3" xfId="6363" xr:uid="{00000000-0005-0000-0000-0000DD110000}"/>
    <cellStyle name="Normal 3 2 7 3 2" xfId="15689" xr:uid="{86602663-FE1C-49A4-BE73-1D8CB2AA5C6F}"/>
    <cellStyle name="Normal 3 2 7 4" xfId="11472" xr:uid="{5C497D64-EC49-4523-B495-426C02FA7549}"/>
    <cellStyle name="Normal 3 2 8" xfId="2493" xr:uid="{00000000-0005-0000-0000-0000DE110000}"/>
    <cellStyle name="Normal 3 2 8 2" xfId="6776" xr:uid="{00000000-0005-0000-0000-0000DF110000}"/>
    <cellStyle name="Normal 3 2 8 2 2" xfId="16102" xr:uid="{E6A40FA8-13A9-40E9-B8CE-2BE3BADC1D5B}"/>
    <cellStyle name="Normal 3 2 8 3" xfId="11885" xr:uid="{A245A137-B3FC-4B43-8D61-0452CF80F983}"/>
    <cellStyle name="Normal 3 2 9" xfId="4710" xr:uid="{00000000-0005-0000-0000-0000E0110000}"/>
    <cellStyle name="Normal 3 2 9 2" xfId="14036" xr:uid="{D2048CC1-5E50-487E-A5DF-20224C58DB84}"/>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10 2" xfId="18064" xr:uid="{FE13B852-EC51-4939-AFBA-4C349E88698B}"/>
    <cellStyle name="Normal 4 11" xfId="9824" xr:uid="{F3B369D3-17B7-4D6D-BA7E-98AAE28D5FCA}"/>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2 2 2" xfId="17839" xr:uid="{FAF6F01A-5FA8-4347-B2F3-B627E6E19E14}"/>
    <cellStyle name="Normal 4 2 2 10 2 3" xfId="13622" xr:uid="{50446A3D-3BCC-4A26-897B-E6636D494174}"/>
    <cellStyle name="Normal 4 2 2 10 3" xfId="6368" xr:uid="{00000000-0005-0000-0000-0000ED110000}"/>
    <cellStyle name="Normal 4 2 2 10 3 2" xfId="15694" xr:uid="{347404B4-A193-4812-8CC7-88DE8D89D7E1}"/>
    <cellStyle name="Normal 4 2 2 10 4" xfId="11477" xr:uid="{A7841EBF-723F-4906-BE35-BCC81DB920B6}"/>
    <cellStyle name="Normal 4 2 2 11" xfId="2498" xr:uid="{00000000-0005-0000-0000-0000EE110000}"/>
    <cellStyle name="Normal 4 2 2 11 2" xfId="6781" xr:uid="{00000000-0005-0000-0000-0000EF110000}"/>
    <cellStyle name="Normal 4 2 2 11 2 2" xfId="16107" xr:uid="{C9F71A24-8994-417C-AEFF-C4B0B245BAC0}"/>
    <cellStyle name="Normal 4 2 2 11 3" xfId="11890" xr:uid="{EB1B66E0-64E3-4021-B72C-509C834203DC}"/>
    <cellStyle name="Normal 4 2 2 12" xfId="4716" xr:uid="{00000000-0005-0000-0000-0000F0110000}"/>
    <cellStyle name="Normal 4 2 2 12 2" xfId="14042" xr:uid="{F2A3CD2D-AFBB-4120-B128-BABEEEDB69F5}"/>
    <cellStyle name="Normal 4 2 2 13" xfId="8752" xr:uid="{7B61EFAC-4165-4615-9A47-7AF5DAE027C9}"/>
    <cellStyle name="Normal 4 2 2 13 2" xfId="18076" xr:uid="{127D39AE-B2CF-487A-B48A-673A61E8ECC3}"/>
    <cellStyle name="Normal 4 2 2 14" xfId="9825" xr:uid="{E00D2B7C-D9D3-473E-B379-3EB66BDE9575}"/>
    <cellStyle name="Normal 4 2 2 2" xfId="338" xr:uid="{00000000-0005-0000-0000-0000F1110000}"/>
    <cellStyle name="Normal 4 2 2 3" xfId="339" xr:uid="{00000000-0005-0000-0000-0000F2110000}"/>
    <cellStyle name="Normal 4 2 2 3 10" xfId="4717" xr:uid="{00000000-0005-0000-0000-0000F3110000}"/>
    <cellStyle name="Normal 4 2 2 3 10 2" xfId="14043" xr:uid="{3B7D92C5-3C35-44E8-8FD4-EE8EC327D3B3}"/>
    <cellStyle name="Normal 4 2 2 3 11" xfId="8784" xr:uid="{8AA3A883-811C-4C4A-AFFF-9AAED56BF228}"/>
    <cellStyle name="Normal 4 2 2 3 11 2" xfId="18108" xr:uid="{8ABE2FD8-9802-48B4-8173-D356249B3D35}"/>
    <cellStyle name="Normal 4 2 2 3 12" xfId="9826" xr:uid="{11D2B139-C2FC-4312-8165-E807E948EC83}"/>
    <cellStyle name="Normal 4 2 2 3 2" xfId="340" xr:uid="{00000000-0005-0000-0000-0000F4110000}"/>
    <cellStyle name="Normal 4 2 2 3 2 10" xfId="8819" xr:uid="{16629302-3759-4242-B07E-BB5D034B10E8}"/>
    <cellStyle name="Normal 4 2 2 3 2 10 2" xfId="18143" xr:uid="{09E48AB0-BE74-42CD-BF30-9EDCC1708D61}"/>
    <cellStyle name="Normal 4 2 2 3 2 11" xfId="9827" xr:uid="{813881E1-E084-4FE9-865C-E23836E1CAEA}"/>
    <cellStyle name="Normal 4 2 2 3 2 2" xfId="341" xr:uid="{00000000-0005-0000-0000-0000F5110000}"/>
    <cellStyle name="Normal 4 2 2 3 2 2 10" xfId="9828" xr:uid="{8F679344-B09E-45A8-B028-13DCA1C90C62}"/>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2 2 2" xfId="16604" xr:uid="{0C152210-9491-4EB8-A86B-6279CA3CA932}"/>
    <cellStyle name="Normal 4 2 2 3 2 2 2 2 2 3" xfId="12387" xr:uid="{B29A70E3-E315-4D33-B529-FE6AD4EC799B}"/>
    <cellStyle name="Normal 4 2 2 3 2 2 2 2 3" xfId="5133" xr:uid="{00000000-0005-0000-0000-0000FA110000}"/>
    <cellStyle name="Normal 4 2 2 3 2 2 2 2 3 2" xfId="14459" xr:uid="{450CDC99-E949-4796-B988-3EFD7B7CABB9}"/>
    <cellStyle name="Normal 4 2 2 3 2 2 2 2 4" xfId="9554" xr:uid="{BAC669EC-8948-4716-90C3-0688F03300CE}"/>
    <cellStyle name="Normal 4 2 2 3 2 2 2 2 4 2" xfId="18869" xr:uid="{55A73C6B-CA78-4FA6-8050-D26BA8A45BE0}"/>
    <cellStyle name="Normal 4 2 2 3 2 2 2 2 5" xfId="10242" xr:uid="{CA7D3B12-053D-439C-B93C-D2C695CE386F}"/>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2 2 2" xfId="17017" xr:uid="{707D65B8-A5D1-4EFF-A098-D0570F599E3F}"/>
    <cellStyle name="Normal 4 2 2 3 2 2 2 3 2 3" xfId="12800" xr:uid="{9AE61E74-B2CE-4B55-8D33-8D896EA08A7B}"/>
    <cellStyle name="Normal 4 2 2 3 2 2 2 3 3" xfId="5546" xr:uid="{00000000-0005-0000-0000-0000FE110000}"/>
    <cellStyle name="Normal 4 2 2 3 2 2 2 3 3 2" xfId="14872" xr:uid="{58226E6F-9DD7-4D43-97C1-0756F102346A}"/>
    <cellStyle name="Normal 4 2 2 3 2 2 2 3 4" xfId="10655" xr:uid="{A671E849-FF49-4EDE-8C0F-F8309F20A3A4}"/>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2 2 2" xfId="17430" xr:uid="{5D61BBA2-96C6-49D0-97DB-61580983022D}"/>
    <cellStyle name="Normal 4 2 2 3 2 2 2 4 2 3" xfId="13213" xr:uid="{D57BA4A2-112C-41FC-A1CA-F33F4084D0FB}"/>
    <cellStyle name="Normal 4 2 2 3 2 2 2 4 3" xfId="5959" xr:uid="{00000000-0005-0000-0000-000002120000}"/>
    <cellStyle name="Normal 4 2 2 3 2 2 2 4 3 2" xfId="15285" xr:uid="{2136F60B-110C-4774-BCCD-46D80F3627E1}"/>
    <cellStyle name="Normal 4 2 2 3 2 2 2 4 4" xfId="11068" xr:uid="{FB5806CA-524F-4AF4-9C66-CAC42BB895F7}"/>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2 2 2" xfId="17843" xr:uid="{68F54D76-D245-4C09-8614-720EE45B13E4}"/>
    <cellStyle name="Normal 4 2 2 3 2 2 2 5 2 3" xfId="13626" xr:uid="{2FFF5105-8C16-4BB0-99F2-793504D7CB20}"/>
    <cellStyle name="Normal 4 2 2 3 2 2 2 5 3" xfId="6372" xr:uid="{00000000-0005-0000-0000-000006120000}"/>
    <cellStyle name="Normal 4 2 2 3 2 2 2 5 3 2" xfId="15698" xr:uid="{8C7DC73A-A4E4-4271-9BF5-2E4FDB4F62F4}"/>
    <cellStyle name="Normal 4 2 2 3 2 2 2 5 4" xfId="11481" xr:uid="{3DFD02F5-F8C8-4B8C-91BA-24B9A71DAE5F}"/>
    <cellStyle name="Normal 4 2 2 3 2 2 2 6" xfId="2502" xr:uid="{00000000-0005-0000-0000-000007120000}"/>
    <cellStyle name="Normal 4 2 2 3 2 2 2 6 2" xfId="6785" xr:uid="{00000000-0005-0000-0000-000008120000}"/>
    <cellStyle name="Normal 4 2 2 3 2 2 2 6 2 2" xfId="16111" xr:uid="{7EBA382D-75D9-4AE1-87D7-3BFCAD5AF633}"/>
    <cellStyle name="Normal 4 2 2 3 2 2 2 6 3" xfId="11894" xr:uid="{C5299C74-4415-4DE2-809E-51E812B35E5C}"/>
    <cellStyle name="Normal 4 2 2 3 2 2 2 7" xfId="4720" xr:uid="{00000000-0005-0000-0000-000009120000}"/>
    <cellStyle name="Normal 4 2 2 3 2 2 2 7 2" xfId="14046" xr:uid="{6A9A244B-F599-48E7-A926-7BD7582018D4}"/>
    <cellStyle name="Normal 4 2 2 3 2 2 2 8" xfId="9129" xr:uid="{970F8072-C8D6-4D17-95D6-EBF431EAD262}"/>
    <cellStyle name="Normal 4 2 2 3 2 2 2 8 2" xfId="18453" xr:uid="{7B886B61-2CA4-4CA3-B33F-102A4B9EC04C}"/>
    <cellStyle name="Normal 4 2 2 3 2 2 2 9" xfId="9829" xr:uid="{6A48977C-BEC6-4EAF-9483-2970BF9745FD}"/>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2 2 2" xfId="16603" xr:uid="{207EABC6-2A84-4F47-8737-935C345B0C0A}"/>
    <cellStyle name="Normal 4 2 2 3 2 2 3 2 3" xfId="12386" xr:uid="{8CAFDE0F-F340-4809-B4B0-4A3B4F24E678}"/>
    <cellStyle name="Normal 4 2 2 3 2 2 3 3" xfId="5132" xr:uid="{00000000-0005-0000-0000-00000D120000}"/>
    <cellStyle name="Normal 4 2 2 3 2 2 3 3 2" xfId="14458" xr:uid="{BEAA5D7B-F95F-42B9-9120-B5B38CCE3055}"/>
    <cellStyle name="Normal 4 2 2 3 2 2 3 4" xfId="9347" xr:uid="{8C9012CB-19BB-4242-9F43-373358B13B52}"/>
    <cellStyle name="Normal 4 2 2 3 2 2 3 4 2" xfId="18662" xr:uid="{2BF9F426-60D4-4265-9877-83F1DEE8EE84}"/>
    <cellStyle name="Normal 4 2 2 3 2 2 3 5" xfId="10241" xr:uid="{0B7793EF-307F-4F73-A543-F8391EDF3D1C}"/>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2 2 2" xfId="17016" xr:uid="{43EB4CBF-FAE6-465B-8D4D-1D92D59BBF7B}"/>
    <cellStyle name="Normal 4 2 2 3 2 2 4 2 3" xfId="12799" xr:uid="{E59D0D37-FCB5-4645-8A2E-D0B6C775B23A}"/>
    <cellStyle name="Normal 4 2 2 3 2 2 4 3" xfId="5545" xr:uid="{00000000-0005-0000-0000-000011120000}"/>
    <cellStyle name="Normal 4 2 2 3 2 2 4 3 2" xfId="14871" xr:uid="{15189345-AF62-4CF7-AD25-62F1DDC83D88}"/>
    <cellStyle name="Normal 4 2 2 3 2 2 4 4" xfId="10654" xr:uid="{D31A949B-FB3A-4A9A-84D7-27B30B90ECDC}"/>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2 2 2" xfId="17429" xr:uid="{B932BA36-3F46-45B5-83BB-82B5C20F15CB}"/>
    <cellStyle name="Normal 4 2 2 3 2 2 5 2 3" xfId="13212" xr:uid="{07759390-9EE7-4F9C-8F9C-E14F2C094312}"/>
    <cellStyle name="Normal 4 2 2 3 2 2 5 3" xfId="5958" xr:uid="{00000000-0005-0000-0000-000015120000}"/>
    <cellStyle name="Normal 4 2 2 3 2 2 5 3 2" xfId="15284" xr:uid="{FD39EA90-B0D1-423B-AA88-DC54C0CFE5D1}"/>
    <cellStyle name="Normal 4 2 2 3 2 2 5 4" xfId="11067" xr:uid="{920E0B6D-FEF9-476D-B2A6-EA866C6E2227}"/>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2 2 2" xfId="17842" xr:uid="{54B96F59-8641-42C1-AD51-3127B11C4B21}"/>
    <cellStyle name="Normal 4 2 2 3 2 2 6 2 3" xfId="13625" xr:uid="{8606D872-3969-48AF-87FE-3F48E68C785F}"/>
    <cellStyle name="Normal 4 2 2 3 2 2 6 3" xfId="6371" xr:uid="{00000000-0005-0000-0000-000019120000}"/>
    <cellStyle name="Normal 4 2 2 3 2 2 6 3 2" xfId="15697" xr:uid="{BF716891-0E4D-4942-9F41-6E1B0BC574A7}"/>
    <cellStyle name="Normal 4 2 2 3 2 2 6 4" xfId="11480" xr:uid="{20F453A0-F220-411D-84FC-94BDD8F436AB}"/>
    <cellStyle name="Normal 4 2 2 3 2 2 7" xfId="2501" xr:uid="{00000000-0005-0000-0000-00001A120000}"/>
    <cellStyle name="Normal 4 2 2 3 2 2 7 2" xfId="6784" xr:uid="{00000000-0005-0000-0000-00001B120000}"/>
    <cellStyle name="Normal 4 2 2 3 2 2 7 2 2" xfId="16110" xr:uid="{7E82CBC2-D1EA-4EC1-87D7-E5665B36D7C5}"/>
    <cellStyle name="Normal 4 2 2 3 2 2 7 3" xfId="11893" xr:uid="{A0D3BEF3-568A-435F-95B1-0C5C5533F8AB}"/>
    <cellStyle name="Normal 4 2 2 3 2 2 8" xfId="4719" xr:uid="{00000000-0005-0000-0000-00001C120000}"/>
    <cellStyle name="Normal 4 2 2 3 2 2 8 2" xfId="14045" xr:uid="{407A6683-3593-4127-B015-6AE8F0570BF6}"/>
    <cellStyle name="Normal 4 2 2 3 2 2 9" xfId="8922" xr:uid="{32C9E21B-8C85-4874-B28C-82BF39BA84E2}"/>
    <cellStyle name="Normal 4 2 2 3 2 2 9 2" xfId="18246" xr:uid="{3B9028B0-9D76-422B-A91C-20ED159F0AF8}"/>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2 2 2" xfId="16605" xr:uid="{DD7E6E89-1C6D-4B06-A684-8EA5D8273FE7}"/>
    <cellStyle name="Normal 4 2 2 3 2 3 2 2 3" xfId="12388" xr:uid="{67C635A3-27F8-464B-820F-36F037E9C31B}"/>
    <cellStyle name="Normal 4 2 2 3 2 3 2 3" xfId="5134" xr:uid="{00000000-0005-0000-0000-000021120000}"/>
    <cellStyle name="Normal 4 2 2 3 2 3 2 3 2" xfId="14460" xr:uid="{5D7AD975-DE20-4DEA-A176-27DB01649D74}"/>
    <cellStyle name="Normal 4 2 2 3 2 3 2 4" xfId="9451" xr:uid="{85AA9164-95F1-48F2-907A-54AD445D074F}"/>
    <cellStyle name="Normal 4 2 2 3 2 3 2 4 2" xfId="18766" xr:uid="{F499AEF3-B478-4B57-8A3A-545CEDAA5173}"/>
    <cellStyle name="Normal 4 2 2 3 2 3 2 5" xfId="10243" xr:uid="{C0AB80DC-9358-4603-B0DF-30C225ECFD84}"/>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2 2 2" xfId="17018" xr:uid="{8AF3C7C2-842F-4960-A71D-2D134A812097}"/>
    <cellStyle name="Normal 4 2 2 3 2 3 3 2 3" xfId="12801" xr:uid="{90FEBC66-2FA3-48BA-92A7-1A0ED2A7ACC4}"/>
    <cellStyle name="Normal 4 2 2 3 2 3 3 3" xfId="5547" xr:uid="{00000000-0005-0000-0000-000025120000}"/>
    <cellStyle name="Normal 4 2 2 3 2 3 3 3 2" xfId="14873" xr:uid="{84E9B457-5788-4A56-859D-110FB5C6A28C}"/>
    <cellStyle name="Normal 4 2 2 3 2 3 3 4" xfId="10656" xr:uid="{45003D91-7E63-4A99-B1F2-71FD63F41F09}"/>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2 2 2" xfId="17431" xr:uid="{839A0CD0-92B5-451E-89F1-55E9A77BD47A}"/>
    <cellStyle name="Normal 4 2 2 3 2 3 4 2 3" xfId="13214" xr:uid="{A8BC184A-A8BD-43CD-BE17-093EF8FC6063}"/>
    <cellStyle name="Normal 4 2 2 3 2 3 4 3" xfId="5960" xr:uid="{00000000-0005-0000-0000-000029120000}"/>
    <cellStyle name="Normal 4 2 2 3 2 3 4 3 2" xfId="15286" xr:uid="{AFF2C0CF-0D22-48D7-B5AD-04B2DCE2438A}"/>
    <cellStyle name="Normal 4 2 2 3 2 3 4 4" xfId="11069" xr:uid="{796E4627-BD41-475A-B2DC-AE515CA936E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2 2 2" xfId="17844" xr:uid="{61E828C9-481F-4B37-AFBC-80375C64F645}"/>
    <cellStyle name="Normal 4 2 2 3 2 3 5 2 3" xfId="13627" xr:uid="{F1427904-0E06-42E1-8B6D-7C2B4D78B78B}"/>
    <cellStyle name="Normal 4 2 2 3 2 3 5 3" xfId="6373" xr:uid="{00000000-0005-0000-0000-00002D120000}"/>
    <cellStyle name="Normal 4 2 2 3 2 3 5 3 2" xfId="15699" xr:uid="{F5814C7E-77CF-4A6B-8096-5F0BE3AA1DD6}"/>
    <cellStyle name="Normal 4 2 2 3 2 3 5 4" xfId="11482" xr:uid="{9E0DBF63-D5B4-4106-BAB2-527D8986D077}"/>
    <cellStyle name="Normal 4 2 2 3 2 3 6" xfId="2503" xr:uid="{00000000-0005-0000-0000-00002E120000}"/>
    <cellStyle name="Normal 4 2 2 3 2 3 6 2" xfId="6786" xr:uid="{00000000-0005-0000-0000-00002F120000}"/>
    <cellStyle name="Normal 4 2 2 3 2 3 6 2 2" xfId="16112" xr:uid="{50F77886-D969-4765-919C-D4BEE3F79430}"/>
    <cellStyle name="Normal 4 2 2 3 2 3 6 3" xfId="11895" xr:uid="{4E596BBA-3DAA-4865-BC29-3CBD85176CC6}"/>
    <cellStyle name="Normal 4 2 2 3 2 3 7" xfId="4721" xr:uid="{00000000-0005-0000-0000-000030120000}"/>
    <cellStyle name="Normal 4 2 2 3 2 3 7 2" xfId="14047" xr:uid="{490B99F9-C5E4-44C5-A81D-B1909D758ED4}"/>
    <cellStyle name="Normal 4 2 2 3 2 3 8" xfId="9026" xr:uid="{319D63D3-F71C-4F99-9FD1-E3D0665567E8}"/>
    <cellStyle name="Normal 4 2 2 3 2 3 8 2" xfId="18350" xr:uid="{F99F4BFC-D91E-4659-8925-74DF59DB4EE2}"/>
    <cellStyle name="Normal 4 2 2 3 2 3 9" xfId="9830" xr:uid="{85A59C05-F3D7-4960-95D2-DCE30660951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2 2 2" xfId="16602" xr:uid="{2967C6CB-F05D-4DE7-B9FD-025D02170FAA}"/>
    <cellStyle name="Normal 4 2 2 3 2 4 2 3" xfId="12385" xr:uid="{F1B3830B-84A8-4A8C-AEB0-1E91F758D3F1}"/>
    <cellStyle name="Normal 4 2 2 3 2 4 3" xfId="5131" xr:uid="{00000000-0005-0000-0000-000034120000}"/>
    <cellStyle name="Normal 4 2 2 3 2 4 3 2" xfId="14457" xr:uid="{2CB30B59-8AD9-4BCB-A352-AE2F11FB3FCA}"/>
    <cellStyle name="Normal 4 2 2 3 2 4 4" xfId="9244" xr:uid="{98623F27-324A-40DE-AA2B-56E1FCE087EE}"/>
    <cellStyle name="Normal 4 2 2 3 2 4 4 2" xfId="18559" xr:uid="{C1A8FAFE-1B64-4897-9755-4B97B78DCA43}"/>
    <cellStyle name="Normal 4 2 2 3 2 4 5" xfId="10240" xr:uid="{91378C5F-B95F-47A4-9683-88FFE2E62B9F}"/>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2 2 2" xfId="17015" xr:uid="{CDED3167-A957-4B17-BA72-7097D968C95A}"/>
    <cellStyle name="Normal 4 2 2 3 2 5 2 3" xfId="12798" xr:uid="{F0EC6802-3F9A-4AF3-9FE8-CA7BA43A7BE0}"/>
    <cellStyle name="Normal 4 2 2 3 2 5 3" xfId="5544" xr:uid="{00000000-0005-0000-0000-000038120000}"/>
    <cellStyle name="Normal 4 2 2 3 2 5 3 2" xfId="14870" xr:uid="{FC63581A-09E0-4588-B6D2-C27EC88A9BEB}"/>
    <cellStyle name="Normal 4 2 2 3 2 5 4" xfId="10653" xr:uid="{89572A69-FBB6-42CA-A210-BB2A6483157E}"/>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2 2 2" xfId="17428" xr:uid="{FDCC7EA4-94DF-406B-8004-56EF5D9279A6}"/>
    <cellStyle name="Normal 4 2 2 3 2 6 2 3" xfId="13211" xr:uid="{91E3B39A-797A-431C-9FDA-BD0217388641}"/>
    <cellStyle name="Normal 4 2 2 3 2 6 3" xfId="5957" xr:uid="{00000000-0005-0000-0000-00003C120000}"/>
    <cellStyle name="Normal 4 2 2 3 2 6 3 2" xfId="15283" xr:uid="{14D8FDC6-2C7B-4880-BE42-CDCA208E074A}"/>
    <cellStyle name="Normal 4 2 2 3 2 6 4" xfId="11066" xr:uid="{1E2B131B-43D4-41A3-BF72-EA130A15910A}"/>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2 2 2" xfId="17841" xr:uid="{A2F8058C-774A-44F5-BE71-6A957BD9F774}"/>
    <cellStyle name="Normal 4 2 2 3 2 7 2 3" xfId="13624" xr:uid="{606C3033-8288-447C-984E-F38BA30829BB}"/>
    <cellStyle name="Normal 4 2 2 3 2 7 3" xfId="6370" xr:uid="{00000000-0005-0000-0000-000040120000}"/>
    <cellStyle name="Normal 4 2 2 3 2 7 3 2" xfId="15696" xr:uid="{1343B42A-AB50-4C14-9F89-34FE00957813}"/>
    <cellStyle name="Normal 4 2 2 3 2 7 4" xfId="11479" xr:uid="{FB236CDD-C84B-47B0-84AB-D3D3DA75C1D4}"/>
    <cellStyle name="Normal 4 2 2 3 2 8" xfId="2500" xr:uid="{00000000-0005-0000-0000-000041120000}"/>
    <cellStyle name="Normal 4 2 2 3 2 8 2" xfId="6783" xr:uid="{00000000-0005-0000-0000-000042120000}"/>
    <cellStyle name="Normal 4 2 2 3 2 8 2 2" xfId="16109" xr:uid="{BCA99CD2-A0DC-4315-A114-55F32A1BC1D3}"/>
    <cellStyle name="Normal 4 2 2 3 2 8 3" xfId="11892" xr:uid="{E6FA56F4-80D6-4FA0-A61B-F1A080E23C86}"/>
    <cellStyle name="Normal 4 2 2 3 2 9" xfId="4718" xr:uid="{00000000-0005-0000-0000-000043120000}"/>
    <cellStyle name="Normal 4 2 2 3 2 9 2" xfId="14044" xr:uid="{54A56A4C-F170-43B4-B81C-4BB8DB01B191}"/>
    <cellStyle name="Normal 4 2 2 3 3" xfId="344" xr:uid="{00000000-0005-0000-0000-000044120000}"/>
    <cellStyle name="Normal 4 2 2 3 3 10" xfId="9831" xr:uid="{A9963FDA-6752-4306-A908-B183C6586AF1}"/>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2 2 2" xfId="16607" xr:uid="{3F836C3A-F2AD-4633-B219-98882EAF6071}"/>
    <cellStyle name="Normal 4 2 2 3 3 2 2 2 3" xfId="12390" xr:uid="{B1C555FD-7E1E-4E0A-A39A-5012A4078415}"/>
    <cellStyle name="Normal 4 2 2 3 3 2 2 3" xfId="5136" xr:uid="{00000000-0005-0000-0000-000049120000}"/>
    <cellStyle name="Normal 4 2 2 3 3 2 2 3 2" xfId="14462" xr:uid="{379BC849-AD0E-447C-8029-2A9295D7756B}"/>
    <cellStyle name="Normal 4 2 2 3 3 2 2 4" xfId="9519" xr:uid="{FB4BBD6E-D73B-4ABD-8656-6C15D7932E02}"/>
    <cellStyle name="Normal 4 2 2 3 3 2 2 4 2" xfId="18834" xr:uid="{6D160AFD-876C-4162-A1BE-655A2CB8F4F6}"/>
    <cellStyle name="Normal 4 2 2 3 3 2 2 5" xfId="10245" xr:uid="{46085F10-3CCE-4E8A-8585-EA1DBA393831}"/>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2 2 2" xfId="17020" xr:uid="{0E458B9D-6617-4E10-AEF1-CD5C20ACE527}"/>
    <cellStyle name="Normal 4 2 2 3 3 2 3 2 3" xfId="12803" xr:uid="{4FCB169B-CC82-417A-9C55-28AF69954D6A}"/>
    <cellStyle name="Normal 4 2 2 3 3 2 3 3" xfId="5549" xr:uid="{00000000-0005-0000-0000-00004D120000}"/>
    <cellStyle name="Normal 4 2 2 3 3 2 3 3 2" xfId="14875" xr:uid="{58401B86-7CE8-4C52-B775-69D9ED4B0C3F}"/>
    <cellStyle name="Normal 4 2 2 3 3 2 3 4" xfId="10658" xr:uid="{C2CDFC4B-365F-421A-8A46-6CA0FECCE62C}"/>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2 2 2" xfId="17433" xr:uid="{B9D9A9C5-2A97-4906-A651-8915F1528A3F}"/>
    <cellStyle name="Normal 4 2 2 3 3 2 4 2 3" xfId="13216" xr:uid="{20FAE992-7A44-4AA0-A9CB-05612197E751}"/>
    <cellStyle name="Normal 4 2 2 3 3 2 4 3" xfId="5962" xr:uid="{00000000-0005-0000-0000-000051120000}"/>
    <cellStyle name="Normal 4 2 2 3 3 2 4 3 2" xfId="15288" xr:uid="{DD163547-94CA-4C9C-AFDC-C26D033EB8A0}"/>
    <cellStyle name="Normal 4 2 2 3 3 2 4 4" xfId="11071" xr:uid="{13D39448-32FF-4C52-9D6A-60CCCBC4E6F5}"/>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2 2 2" xfId="17846" xr:uid="{A9394DBC-284A-4752-A15F-3E855BCB4BD9}"/>
    <cellStyle name="Normal 4 2 2 3 3 2 5 2 3" xfId="13629" xr:uid="{7C5B4C8A-6848-471A-9988-445143C1EC2C}"/>
    <cellStyle name="Normal 4 2 2 3 3 2 5 3" xfId="6375" xr:uid="{00000000-0005-0000-0000-000055120000}"/>
    <cellStyle name="Normal 4 2 2 3 3 2 5 3 2" xfId="15701" xr:uid="{DB968198-4EC0-4020-A399-009740EE4A21}"/>
    <cellStyle name="Normal 4 2 2 3 3 2 5 4" xfId="11484" xr:uid="{31D77F31-5E83-4699-AF35-3B50CDCCDDB4}"/>
    <cellStyle name="Normal 4 2 2 3 3 2 6" xfId="2505" xr:uid="{00000000-0005-0000-0000-000056120000}"/>
    <cellStyle name="Normal 4 2 2 3 3 2 6 2" xfId="6788" xr:uid="{00000000-0005-0000-0000-000057120000}"/>
    <cellStyle name="Normal 4 2 2 3 3 2 6 2 2" xfId="16114" xr:uid="{64BBD363-B19C-49A1-9FD8-FC86DBCB61E9}"/>
    <cellStyle name="Normal 4 2 2 3 3 2 6 3" xfId="11897" xr:uid="{55DB1E76-194E-4A2D-B924-BAEF10B64627}"/>
    <cellStyle name="Normal 4 2 2 3 3 2 7" xfId="4723" xr:uid="{00000000-0005-0000-0000-000058120000}"/>
    <cellStyle name="Normal 4 2 2 3 3 2 7 2" xfId="14049" xr:uid="{5D53F5C5-3F07-4338-982C-16A6716B1F40}"/>
    <cellStyle name="Normal 4 2 2 3 3 2 8" xfId="9094" xr:uid="{1333D468-E252-4686-88C1-38A56B910A8E}"/>
    <cellStyle name="Normal 4 2 2 3 3 2 8 2" xfId="18418" xr:uid="{FCDD2E0F-D439-4D9D-9232-9ECAE3934D60}"/>
    <cellStyle name="Normal 4 2 2 3 3 2 9" xfId="9832" xr:uid="{EA0B7FBB-F078-4706-A4A7-7D49B32B56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2 2 2" xfId="16606" xr:uid="{B5855481-CFAB-482A-B880-F2B0E7A47625}"/>
    <cellStyle name="Normal 4 2 2 3 3 3 2 3" xfId="12389" xr:uid="{22162C94-6DBE-4F2D-A935-3068D1C13000}"/>
    <cellStyle name="Normal 4 2 2 3 3 3 3" xfId="5135" xr:uid="{00000000-0005-0000-0000-00005C120000}"/>
    <cellStyle name="Normal 4 2 2 3 3 3 3 2" xfId="14461" xr:uid="{724CFDB9-B71C-42BB-A72E-51A773A4FA8C}"/>
    <cellStyle name="Normal 4 2 2 3 3 3 4" xfId="9312" xr:uid="{0065946C-778C-4913-8F8B-68BBB1A30769}"/>
    <cellStyle name="Normal 4 2 2 3 3 3 4 2" xfId="18627" xr:uid="{C0A4EC5A-B7E9-44E2-A3A5-53A945BAC0C0}"/>
    <cellStyle name="Normal 4 2 2 3 3 3 5" xfId="10244" xr:uid="{97099824-7DD3-4771-985E-F78898AF6862}"/>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2 2 2" xfId="17019" xr:uid="{573B0530-E80B-4B77-BF32-C8A314DB04CA}"/>
    <cellStyle name="Normal 4 2 2 3 3 4 2 3" xfId="12802" xr:uid="{2C3F360E-0502-4C4D-B91A-374EB0BC23F6}"/>
    <cellStyle name="Normal 4 2 2 3 3 4 3" xfId="5548" xr:uid="{00000000-0005-0000-0000-000060120000}"/>
    <cellStyle name="Normal 4 2 2 3 3 4 3 2" xfId="14874" xr:uid="{60C86858-7410-4CB6-B28A-3655A921728F}"/>
    <cellStyle name="Normal 4 2 2 3 3 4 4" xfId="10657" xr:uid="{D21EA08F-2C0B-406B-BBD6-DCE040DB465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2 2 2" xfId="17432" xr:uid="{70310383-D5DF-4B87-A0B5-C5B71F4DE721}"/>
    <cellStyle name="Normal 4 2 2 3 3 5 2 3" xfId="13215" xr:uid="{6DBF0949-1558-4522-A587-4422F077A130}"/>
    <cellStyle name="Normal 4 2 2 3 3 5 3" xfId="5961" xr:uid="{00000000-0005-0000-0000-000064120000}"/>
    <cellStyle name="Normal 4 2 2 3 3 5 3 2" xfId="15287" xr:uid="{3D53ABA7-2D80-4687-9214-96C758EB301E}"/>
    <cellStyle name="Normal 4 2 2 3 3 5 4" xfId="11070" xr:uid="{541D2905-D266-45AF-88B6-1B6A85D96212}"/>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2 2 2" xfId="17845" xr:uid="{DDE1A4DE-7BF8-477F-9882-E75EF85081CF}"/>
    <cellStyle name="Normal 4 2 2 3 3 6 2 3" xfId="13628" xr:uid="{FD738331-5803-4883-A2F6-F1A378F29BA1}"/>
    <cellStyle name="Normal 4 2 2 3 3 6 3" xfId="6374" xr:uid="{00000000-0005-0000-0000-000068120000}"/>
    <cellStyle name="Normal 4 2 2 3 3 6 3 2" xfId="15700" xr:uid="{8AAC8204-F735-4D7D-87B3-BAAA905C3BD7}"/>
    <cellStyle name="Normal 4 2 2 3 3 6 4" xfId="11483" xr:uid="{70CA3FA6-76C5-43A8-B964-E294CC3111C5}"/>
    <cellStyle name="Normal 4 2 2 3 3 7" xfId="2504" xr:uid="{00000000-0005-0000-0000-000069120000}"/>
    <cellStyle name="Normal 4 2 2 3 3 7 2" xfId="6787" xr:uid="{00000000-0005-0000-0000-00006A120000}"/>
    <cellStyle name="Normal 4 2 2 3 3 7 2 2" xfId="16113" xr:uid="{8B54D6FB-B25D-4520-BDDF-7A1E31FC7E8F}"/>
    <cellStyle name="Normal 4 2 2 3 3 7 3" xfId="11896" xr:uid="{733F854E-3C88-4D43-B922-F7AFE2312EA9}"/>
    <cellStyle name="Normal 4 2 2 3 3 8" xfId="4722" xr:uid="{00000000-0005-0000-0000-00006B120000}"/>
    <cellStyle name="Normal 4 2 2 3 3 8 2" xfId="14048" xr:uid="{8B566DF1-1886-4BF5-9D5B-E25266832F07}"/>
    <cellStyle name="Normal 4 2 2 3 3 9" xfId="8887" xr:uid="{FD79599D-FD4F-44F4-A7A6-B948A2C15DD2}"/>
    <cellStyle name="Normal 4 2 2 3 3 9 2" xfId="18211" xr:uid="{EF4A2D15-FDC3-4D6E-992E-8A67C1233468}"/>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2 2 2" xfId="16608" xr:uid="{40A24CB9-9516-4624-83C3-CDF04930EEF5}"/>
    <cellStyle name="Normal 4 2 2 3 4 2 2 3" xfId="12391" xr:uid="{B892A190-F950-4863-A0E6-EAE405B58AEC}"/>
    <cellStyle name="Normal 4 2 2 3 4 2 3" xfId="5137" xr:uid="{00000000-0005-0000-0000-000070120000}"/>
    <cellStyle name="Normal 4 2 2 3 4 2 3 2" xfId="14463" xr:uid="{5C123C97-3BD0-48D2-861D-F33EB7D11FFB}"/>
    <cellStyle name="Normal 4 2 2 3 4 2 4" xfId="9416" xr:uid="{B0F1A5CD-0EDE-48A7-9669-6902681F696C}"/>
    <cellStyle name="Normal 4 2 2 3 4 2 4 2" xfId="18731" xr:uid="{8D02973E-F4C6-414E-8B87-3CC1F8E310D2}"/>
    <cellStyle name="Normal 4 2 2 3 4 2 5" xfId="10246" xr:uid="{456AA65B-6A33-4077-844E-B7AD2D0BF8E6}"/>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2 2 2" xfId="17021" xr:uid="{07A13DEA-2026-4065-870C-5C1086EB2C96}"/>
    <cellStyle name="Normal 4 2 2 3 4 3 2 3" xfId="12804" xr:uid="{D49EB935-9D1C-4233-9779-DF83D821AC56}"/>
    <cellStyle name="Normal 4 2 2 3 4 3 3" xfId="5550" xr:uid="{00000000-0005-0000-0000-000074120000}"/>
    <cellStyle name="Normal 4 2 2 3 4 3 3 2" xfId="14876" xr:uid="{54B13321-5459-4137-808F-A919F85AF099}"/>
    <cellStyle name="Normal 4 2 2 3 4 3 4" xfId="10659" xr:uid="{825F1D7A-1A97-479B-B063-62F2290A61E4}"/>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2 2 2" xfId="17434" xr:uid="{1D1AC9FA-9EDA-4AE8-A9AA-238924D10A87}"/>
    <cellStyle name="Normal 4 2 2 3 4 4 2 3" xfId="13217" xr:uid="{3B3CE343-2FAF-4055-A1BB-79A635651027}"/>
    <cellStyle name="Normal 4 2 2 3 4 4 3" xfId="5963" xr:uid="{00000000-0005-0000-0000-000078120000}"/>
    <cellStyle name="Normal 4 2 2 3 4 4 3 2" xfId="15289" xr:uid="{D094738E-FF65-4187-AF2D-FE84514DAD26}"/>
    <cellStyle name="Normal 4 2 2 3 4 4 4" xfId="11072" xr:uid="{722D86A0-2C50-40DF-B281-A6BD8774AD32}"/>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2 2 2" xfId="17847" xr:uid="{4353EE3E-DCE8-4BAE-96F9-29A7071F12EE}"/>
    <cellStyle name="Normal 4 2 2 3 4 5 2 3" xfId="13630" xr:uid="{911EEDE1-4D99-4AE3-86D3-A2C3C5EDC855}"/>
    <cellStyle name="Normal 4 2 2 3 4 5 3" xfId="6376" xr:uid="{00000000-0005-0000-0000-00007C120000}"/>
    <cellStyle name="Normal 4 2 2 3 4 5 3 2" xfId="15702" xr:uid="{7AAB1225-82C9-4084-89FC-108FA1AA53DC}"/>
    <cellStyle name="Normal 4 2 2 3 4 5 4" xfId="11485" xr:uid="{D0C56050-FCCD-4E44-A954-54E29A485DBB}"/>
    <cellStyle name="Normal 4 2 2 3 4 6" xfId="2506" xr:uid="{00000000-0005-0000-0000-00007D120000}"/>
    <cellStyle name="Normal 4 2 2 3 4 6 2" xfId="6789" xr:uid="{00000000-0005-0000-0000-00007E120000}"/>
    <cellStyle name="Normal 4 2 2 3 4 6 2 2" xfId="16115" xr:uid="{69277E86-83B3-4652-8D31-B85D393CCA7F}"/>
    <cellStyle name="Normal 4 2 2 3 4 6 3" xfId="11898" xr:uid="{6D3E55E0-ABAE-44ED-99AC-0D42499DD75B}"/>
    <cellStyle name="Normal 4 2 2 3 4 7" xfId="4724" xr:uid="{00000000-0005-0000-0000-00007F120000}"/>
    <cellStyle name="Normal 4 2 2 3 4 7 2" xfId="14050" xr:uid="{FDB0D299-54B8-4E14-ADD1-322A5B8E0722}"/>
    <cellStyle name="Normal 4 2 2 3 4 8" xfId="8991" xr:uid="{84464EC3-90C2-4B18-8399-135C935528F7}"/>
    <cellStyle name="Normal 4 2 2 3 4 8 2" xfId="18315" xr:uid="{2AC4BDC6-E94D-4586-950D-00FFCAFA960C}"/>
    <cellStyle name="Normal 4 2 2 3 4 9" xfId="9833" xr:uid="{7087F97E-989B-4B28-8804-6CD4139A99C2}"/>
    <cellStyle name="Normal 4 2 2 3 5" xfId="816" xr:uid="{00000000-0005-0000-0000-000080120000}"/>
    <cellStyle name="Normal 4 2 2 3 5 2" xfId="3053" xr:uid="{00000000-0005-0000-0000-000081120000}"/>
    <cellStyle name="Normal 4 2 2 3 5 2 2" xfId="7275" xr:uid="{00000000-0005-0000-0000-000082120000}"/>
    <cellStyle name="Normal 4 2 2 3 5 2 2 2" xfId="16601" xr:uid="{D1EAC900-1130-4CC2-9C5D-4AE213D27007}"/>
    <cellStyle name="Normal 4 2 2 3 5 2 3" xfId="12384" xr:uid="{456D84A2-5BD1-4C3F-969E-2A0DF740F65A}"/>
    <cellStyle name="Normal 4 2 2 3 5 3" xfId="5130" xr:uid="{00000000-0005-0000-0000-000083120000}"/>
    <cellStyle name="Normal 4 2 2 3 5 3 2" xfId="14456" xr:uid="{86E30CAE-FCC2-457B-B803-D72E227CDBED}"/>
    <cellStyle name="Normal 4 2 2 3 5 4" xfId="9208" xr:uid="{7BF9CD11-B90D-42F2-928D-A8BE344C6F46}"/>
    <cellStyle name="Normal 4 2 2 3 5 4 2" xfId="18524" xr:uid="{A48E02F9-8016-416C-93A0-45BEFFD2B1BB}"/>
    <cellStyle name="Normal 4 2 2 3 5 5" xfId="10239" xr:uid="{B5FCB11E-F5E3-49E1-AEDB-56B1A4C26D32}"/>
    <cellStyle name="Normal 4 2 2 3 6" xfId="1236" xr:uid="{00000000-0005-0000-0000-000084120000}"/>
    <cellStyle name="Normal 4 2 2 3 6 2" xfId="3466" xr:uid="{00000000-0005-0000-0000-000085120000}"/>
    <cellStyle name="Normal 4 2 2 3 6 2 2" xfId="7688" xr:uid="{00000000-0005-0000-0000-000086120000}"/>
    <cellStyle name="Normal 4 2 2 3 6 2 2 2" xfId="17014" xr:uid="{F3DD56A5-C93C-45DA-A67E-F201DBAA6841}"/>
    <cellStyle name="Normal 4 2 2 3 6 2 3" xfId="12797" xr:uid="{08BD4648-2E27-475D-8805-21CB605E1083}"/>
    <cellStyle name="Normal 4 2 2 3 6 3" xfId="5543" xr:uid="{00000000-0005-0000-0000-000087120000}"/>
    <cellStyle name="Normal 4 2 2 3 6 3 2" xfId="14869" xr:uid="{8E02BE8F-1D1E-4D76-9D65-951E62BC66AD}"/>
    <cellStyle name="Normal 4 2 2 3 6 4" xfId="10652" xr:uid="{C0D6F34F-20BE-4076-A9AC-06FDDA7DC878}"/>
    <cellStyle name="Normal 4 2 2 3 7" xfId="1649" xr:uid="{00000000-0005-0000-0000-000088120000}"/>
    <cellStyle name="Normal 4 2 2 3 7 2" xfId="3879" xr:uid="{00000000-0005-0000-0000-000089120000}"/>
    <cellStyle name="Normal 4 2 2 3 7 2 2" xfId="8101" xr:uid="{00000000-0005-0000-0000-00008A120000}"/>
    <cellStyle name="Normal 4 2 2 3 7 2 2 2" xfId="17427" xr:uid="{8C0B124D-7BF7-4290-B40B-14DC14CCDF6B}"/>
    <cellStyle name="Normal 4 2 2 3 7 2 3" xfId="13210" xr:uid="{3CE0B6A6-9A0F-4559-98ED-6BA1037F1F5C}"/>
    <cellStyle name="Normal 4 2 2 3 7 3" xfId="5956" xr:uid="{00000000-0005-0000-0000-00008B120000}"/>
    <cellStyle name="Normal 4 2 2 3 7 3 2" xfId="15282" xr:uid="{402C9DB1-805C-4A3F-823C-44D4F8A2BE44}"/>
    <cellStyle name="Normal 4 2 2 3 7 4" xfId="11065" xr:uid="{E53AACE7-F539-4414-8835-C5F203E88191}"/>
    <cellStyle name="Normal 4 2 2 3 8" xfId="2063" xr:uid="{00000000-0005-0000-0000-00008C120000}"/>
    <cellStyle name="Normal 4 2 2 3 8 2" xfId="4292" xr:uid="{00000000-0005-0000-0000-00008D120000}"/>
    <cellStyle name="Normal 4 2 2 3 8 2 2" xfId="8514" xr:uid="{00000000-0005-0000-0000-00008E120000}"/>
    <cellStyle name="Normal 4 2 2 3 8 2 2 2" xfId="17840" xr:uid="{0F693848-53B5-4D57-830D-06707BB2A363}"/>
    <cellStyle name="Normal 4 2 2 3 8 2 3" xfId="13623" xr:uid="{4F60B91A-3BBB-4529-8A06-17932502D5F0}"/>
    <cellStyle name="Normal 4 2 2 3 8 3" xfId="6369" xr:uid="{00000000-0005-0000-0000-00008F120000}"/>
    <cellStyle name="Normal 4 2 2 3 8 3 2" xfId="15695" xr:uid="{7C1CA933-8902-48E3-AACF-4928923DFEAA}"/>
    <cellStyle name="Normal 4 2 2 3 8 4" xfId="11478" xr:uid="{789A6CDC-0DDC-449C-A72D-A891280D1494}"/>
    <cellStyle name="Normal 4 2 2 3 9" xfId="2499" xr:uid="{00000000-0005-0000-0000-000090120000}"/>
    <cellStyle name="Normal 4 2 2 3 9 2" xfId="6782" xr:uid="{00000000-0005-0000-0000-000091120000}"/>
    <cellStyle name="Normal 4 2 2 3 9 2 2" xfId="16108" xr:uid="{3A714C8C-C2EA-46D7-BF48-09BCE4E92B1C}"/>
    <cellStyle name="Normal 4 2 2 3 9 3" xfId="11891" xr:uid="{D9B89BC2-5145-4F28-B7DC-811816166BC5}"/>
    <cellStyle name="Normal 4 2 2 4" xfId="347" xr:uid="{00000000-0005-0000-0000-000092120000}"/>
    <cellStyle name="Normal 4 2 2 4 10" xfId="8818" xr:uid="{A73977A7-52C6-4368-9F59-166E1B99BBDE}"/>
    <cellStyle name="Normal 4 2 2 4 10 2" xfId="18142" xr:uid="{88F173DC-5137-45AF-98A3-7754C1C84694}"/>
    <cellStyle name="Normal 4 2 2 4 11" xfId="9834" xr:uid="{7237E4EF-A2C9-434C-AC26-87F5B0F87D6F}"/>
    <cellStyle name="Normal 4 2 2 4 2" xfId="348" xr:uid="{00000000-0005-0000-0000-000093120000}"/>
    <cellStyle name="Normal 4 2 2 4 2 10" xfId="9835" xr:uid="{34D43AC2-A698-4DCE-A72D-8ADDCF366E54}"/>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2 2 2" xfId="16611" xr:uid="{FDC5D290-FEA9-40F4-B5EF-9C17A9970FA9}"/>
    <cellStyle name="Normal 4 2 2 4 2 2 2 2 3" xfId="12394" xr:uid="{47A60468-FBAD-4F04-AEA4-7CC9CA489CF1}"/>
    <cellStyle name="Normal 4 2 2 4 2 2 2 3" xfId="5140" xr:uid="{00000000-0005-0000-0000-000098120000}"/>
    <cellStyle name="Normal 4 2 2 4 2 2 2 3 2" xfId="14466" xr:uid="{9E864AE5-2176-4FB9-9F20-9598F886F14C}"/>
    <cellStyle name="Normal 4 2 2 4 2 2 2 4" xfId="9553" xr:uid="{7FCAF883-2374-4470-BA95-AD8EB054639C}"/>
    <cellStyle name="Normal 4 2 2 4 2 2 2 4 2" xfId="18868" xr:uid="{3D522DC3-3FE9-46C0-9BB5-AC9FED07CE1C}"/>
    <cellStyle name="Normal 4 2 2 4 2 2 2 5" xfId="10249" xr:uid="{AE2FBACC-2DAA-4090-89D6-9172088BCB0B}"/>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2 2 2" xfId="17024" xr:uid="{20DF9DA1-CF50-4B47-881D-D8AAC6EE3109}"/>
    <cellStyle name="Normal 4 2 2 4 2 2 3 2 3" xfId="12807" xr:uid="{4E86F4B3-3052-46E9-AF39-94E230C50604}"/>
    <cellStyle name="Normal 4 2 2 4 2 2 3 3" xfId="5553" xr:uid="{00000000-0005-0000-0000-00009C120000}"/>
    <cellStyle name="Normal 4 2 2 4 2 2 3 3 2" xfId="14879" xr:uid="{E1D3B791-C36B-4D7E-B2DA-5C6410FA6FE0}"/>
    <cellStyle name="Normal 4 2 2 4 2 2 3 4" xfId="10662" xr:uid="{9345062C-7131-4933-85B6-006113293C17}"/>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2 2 2" xfId="17437" xr:uid="{A9B9BB65-BB77-4F4E-8A35-7F0B37E97129}"/>
    <cellStyle name="Normal 4 2 2 4 2 2 4 2 3" xfId="13220" xr:uid="{E4634A27-7242-493E-80BB-DB4F3EF81BE5}"/>
    <cellStyle name="Normal 4 2 2 4 2 2 4 3" xfId="5966" xr:uid="{00000000-0005-0000-0000-0000A0120000}"/>
    <cellStyle name="Normal 4 2 2 4 2 2 4 3 2" xfId="15292" xr:uid="{8162EF3B-5AD8-4ACF-9C7A-F449B827F2A3}"/>
    <cellStyle name="Normal 4 2 2 4 2 2 4 4" xfId="11075" xr:uid="{8C32FF6A-81D5-487A-AE0A-0954AB2AD01C}"/>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2 2 2" xfId="17850" xr:uid="{3DE80E60-7267-4511-9579-4AD9C3B090B3}"/>
    <cellStyle name="Normal 4 2 2 4 2 2 5 2 3" xfId="13633" xr:uid="{33200153-2796-49A0-ABD7-33462B5C0251}"/>
    <cellStyle name="Normal 4 2 2 4 2 2 5 3" xfId="6379" xr:uid="{00000000-0005-0000-0000-0000A4120000}"/>
    <cellStyle name="Normal 4 2 2 4 2 2 5 3 2" xfId="15705" xr:uid="{F47E54B8-AAFA-4D8A-965C-5933FBBAE71D}"/>
    <cellStyle name="Normal 4 2 2 4 2 2 5 4" xfId="11488" xr:uid="{AD383A33-B8F1-4FD6-AE23-5C05F19DC27F}"/>
    <cellStyle name="Normal 4 2 2 4 2 2 6" xfId="2509" xr:uid="{00000000-0005-0000-0000-0000A5120000}"/>
    <cellStyle name="Normal 4 2 2 4 2 2 6 2" xfId="6792" xr:uid="{00000000-0005-0000-0000-0000A6120000}"/>
    <cellStyle name="Normal 4 2 2 4 2 2 6 2 2" xfId="16118" xr:uid="{0CBF4B97-66AB-4460-B968-7401FFF9955C}"/>
    <cellStyle name="Normal 4 2 2 4 2 2 6 3" xfId="11901" xr:uid="{1DD0488A-E2E6-4B60-A78D-CE11B82F4580}"/>
    <cellStyle name="Normal 4 2 2 4 2 2 7" xfId="4727" xr:uid="{00000000-0005-0000-0000-0000A7120000}"/>
    <cellStyle name="Normal 4 2 2 4 2 2 7 2" xfId="14053" xr:uid="{1ADCE363-FD47-4B72-BF3D-C537CD605D52}"/>
    <cellStyle name="Normal 4 2 2 4 2 2 8" xfId="9128" xr:uid="{3D9AD2A4-E3D1-4BAF-8F43-BFB1FE8E222D}"/>
    <cellStyle name="Normal 4 2 2 4 2 2 8 2" xfId="18452" xr:uid="{2F6E5E53-01E8-47D4-BCD8-E70685407F75}"/>
    <cellStyle name="Normal 4 2 2 4 2 2 9" xfId="9836" xr:uid="{3C21CC2F-4074-4974-8AF0-102A3572D4AE}"/>
    <cellStyle name="Normal 4 2 2 4 2 3" xfId="825" xr:uid="{00000000-0005-0000-0000-0000A8120000}"/>
    <cellStyle name="Normal 4 2 2 4 2 3 2" xfId="3062" xr:uid="{00000000-0005-0000-0000-0000A9120000}"/>
    <cellStyle name="Normal 4 2 2 4 2 3 2 2" xfId="7284" xr:uid="{00000000-0005-0000-0000-0000AA120000}"/>
    <cellStyle name="Normal 4 2 2 4 2 3 2 2 2" xfId="16610" xr:uid="{A9E2198D-2980-4D9E-932B-A5C003022B58}"/>
    <cellStyle name="Normal 4 2 2 4 2 3 2 3" xfId="12393" xr:uid="{141C18AD-5DF9-4953-8D46-A93463CCA3AA}"/>
    <cellStyle name="Normal 4 2 2 4 2 3 3" xfId="5139" xr:uid="{00000000-0005-0000-0000-0000AB120000}"/>
    <cellStyle name="Normal 4 2 2 4 2 3 3 2" xfId="14465" xr:uid="{2D266402-06BF-4113-9913-F7FFFE5C41EE}"/>
    <cellStyle name="Normal 4 2 2 4 2 3 4" xfId="9346" xr:uid="{11110DEC-01F5-467C-B0F9-3286FF7E57CB}"/>
    <cellStyle name="Normal 4 2 2 4 2 3 4 2" xfId="18661" xr:uid="{4D141B4A-ABC9-499F-A99C-E6BD8B3D9561}"/>
    <cellStyle name="Normal 4 2 2 4 2 3 5" xfId="10248" xr:uid="{6EB349F3-58DC-4EEB-B141-AD2774AA6FC6}"/>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2 2 2" xfId="17023" xr:uid="{A1482127-B7D0-45DE-9E00-4F886E7A4E64}"/>
    <cellStyle name="Normal 4 2 2 4 2 4 2 3" xfId="12806" xr:uid="{F958B635-5B18-41A3-8423-5D07F4B1CE49}"/>
    <cellStyle name="Normal 4 2 2 4 2 4 3" xfId="5552" xr:uid="{00000000-0005-0000-0000-0000AF120000}"/>
    <cellStyle name="Normal 4 2 2 4 2 4 3 2" xfId="14878" xr:uid="{9CB1A76C-65B6-491A-BF3D-E732E28DFBE4}"/>
    <cellStyle name="Normal 4 2 2 4 2 4 4" xfId="10661" xr:uid="{E26BB969-388B-4AE0-93B1-08F4CCE03B88}"/>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2 2 2" xfId="17436" xr:uid="{F2CB2CCD-B2CD-4E05-AFFF-4DB82C4846F1}"/>
    <cellStyle name="Normal 4 2 2 4 2 5 2 3" xfId="13219" xr:uid="{DB8FA71E-2AEE-4173-AA34-2A8F18F49496}"/>
    <cellStyle name="Normal 4 2 2 4 2 5 3" xfId="5965" xr:uid="{00000000-0005-0000-0000-0000B3120000}"/>
    <cellStyle name="Normal 4 2 2 4 2 5 3 2" xfId="15291" xr:uid="{02C99ED8-885B-49C7-B3BC-6444C73E8C11}"/>
    <cellStyle name="Normal 4 2 2 4 2 5 4" xfId="11074" xr:uid="{071D422C-C727-4B6D-AC85-D3CC4D00A2D4}"/>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2 2 2" xfId="17849" xr:uid="{CA8825E4-2CE7-4AED-BBC5-FA3C396CAA51}"/>
    <cellStyle name="Normal 4 2 2 4 2 6 2 3" xfId="13632" xr:uid="{185EA35A-CA5F-4BE4-A026-649071F15BDC}"/>
    <cellStyle name="Normal 4 2 2 4 2 6 3" xfId="6378" xr:uid="{00000000-0005-0000-0000-0000B7120000}"/>
    <cellStyle name="Normal 4 2 2 4 2 6 3 2" xfId="15704" xr:uid="{F336C76F-C584-4361-A7A3-425C5CE0D363}"/>
    <cellStyle name="Normal 4 2 2 4 2 6 4" xfId="11487" xr:uid="{98503F58-9FBB-4138-BC56-8E843315BEC3}"/>
    <cellStyle name="Normal 4 2 2 4 2 7" xfId="2508" xr:uid="{00000000-0005-0000-0000-0000B8120000}"/>
    <cellStyle name="Normal 4 2 2 4 2 7 2" xfId="6791" xr:uid="{00000000-0005-0000-0000-0000B9120000}"/>
    <cellStyle name="Normal 4 2 2 4 2 7 2 2" xfId="16117" xr:uid="{422F9BA7-44F4-4FC5-BA45-DD22633658B0}"/>
    <cellStyle name="Normal 4 2 2 4 2 7 3" xfId="11900" xr:uid="{43578660-2E2F-4717-91C1-808FB2E6D386}"/>
    <cellStyle name="Normal 4 2 2 4 2 8" xfId="4726" xr:uid="{00000000-0005-0000-0000-0000BA120000}"/>
    <cellStyle name="Normal 4 2 2 4 2 8 2" xfId="14052" xr:uid="{3CCD36B5-1492-4A28-8307-6AB2DD0301B1}"/>
    <cellStyle name="Normal 4 2 2 4 2 9" xfId="8921" xr:uid="{43AA3CA1-A6D2-47CC-8276-CBFAB7238AA6}"/>
    <cellStyle name="Normal 4 2 2 4 2 9 2" xfId="18245" xr:uid="{509716C9-03D7-449E-BA1F-A255E2AA1D2C}"/>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2 2 2" xfId="16612" xr:uid="{AAC4A784-533D-44AA-B50E-90C9BD017618}"/>
    <cellStyle name="Normal 4 2 2 4 3 2 2 3" xfId="12395" xr:uid="{BCBC02C6-D7F8-416B-9EF7-2705EDE4464B}"/>
    <cellStyle name="Normal 4 2 2 4 3 2 3" xfId="5141" xr:uid="{00000000-0005-0000-0000-0000BF120000}"/>
    <cellStyle name="Normal 4 2 2 4 3 2 3 2" xfId="14467" xr:uid="{B8BAA4FE-3AA5-45FA-849D-8552F63997E9}"/>
    <cellStyle name="Normal 4 2 2 4 3 2 4" xfId="9450" xr:uid="{0F54578A-5DA3-4B6E-9E36-71CC7CD6BFE8}"/>
    <cellStyle name="Normal 4 2 2 4 3 2 4 2" xfId="18765" xr:uid="{05320C58-ED83-49FB-8737-624DCAA6F6BA}"/>
    <cellStyle name="Normal 4 2 2 4 3 2 5" xfId="10250" xr:uid="{79784776-DA07-41FD-A32C-91508B87624A}"/>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2 2 2" xfId="17025" xr:uid="{25DBCBE3-6B33-41C9-B27C-4FCB5A8129DC}"/>
    <cellStyle name="Normal 4 2 2 4 3 3 2 3" xfId="12808" xr:uid="{CBD0F1A9-B47B-422D-A48C-7F9E4B06B44F}"/>
    <cellStyle name="Normal 4 2 2 4 3 3 3" xfId="5554" xr:uid="{00000000-0005-0000-0000-0000C3120000}"/>
    <cellStyle name="Normal 4 2 2 4 3 3 3 2" xfId="14880" xr:uid="{C46339B4-5BDF-4716-93A1-F97B18E10733}"/>
    <cellStyle name="Normal 4 2 2 4 3 3 4" xfId="10663" xr:uid="{EA442ED5-1C84-4423-A12E-572F1EDBB292}"/>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2 2 2" xfId="17438" xr:uid="{6CD7CCE6-977E-477C-988D-B99C6D3FD7DE}"/>
    <cellStyle name="Normal 4 2 2 4 3 4 2 3" xfId="13221" xr:uid="{3D25234A-C37D-460E-8B90-342D23B16C67}"/>
    <cellStyle name="Normal 4 2 2 4 3 4 3" xfId="5967" xr:uid="{00000000-0005-0000-0000-0000C7120000}"/>
    <cellStyle name="Normal 4 2 2 4 3 4 3 2" xfId="15293" xr:uid="{A277F627-554C-4134-B2D5-133DE28C6990}"/>
    <cellStyle name="Normal 4 2 2 4 3 4 4" xfId="11076" xr:uid="{E43A36A9-CE5E-4B74-8F3E-E3681EAF5842}"/>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2 2 2" xfId="17851" xr:uid="{F45F7D8D-9F55-4DD1-A589-347E402A77DE}"/>
    <cellStyle name="Normal 4 2 2 4 3 5 2 3" xfId="13634" xr:uid="{26270DD9-A388-4FE1-A978-5990CF4489C7}"/>
    <cellStyle name="Normal 4 2 2 4 3 5 3" xfId="6380" xr:uid="{00000000-0005-0000-0000-0000CB120000}"/>
    <cellStyle name="Normal 4 2 2 4 3 5 3 2" xfId="15706" xr:uid="{909E4583-64E8-4188-A281-63A86518F231}"/>
    <cellStyle name="Normal 4 2 2 4 3 5 4" xfId="11489" xr:uid="{7FB36E60-7137-4405-BF68-B30189447EA2}"/>
    <cellStyle name="Normal 4 2 2 4 3 6" xfId="2510" xr:uid="{00000000-0005-0000-0000-0000CC120000}"/>
    <cellStyle name="Normal 4 2 2 4 3 6 2" xfId="6793" xr:uid="{00000000-0005-0000-0000-0000CD120000}"/>
    <cellStyle name="Normal 4 2 2 4 3 6 2 2" xfId="16119" xr:uid="{2409F2FA-2503-45F6-BEFB-B895BD990AEE}"/>
    <cellStyle name="Normal 4 2 2 4 3 6 3" xfId="11902" xr:uid="{E2BAEF2C-89E1-4EDD-8A75-B5D4CA63F484}"/>
    <cellStyle name="Normal 4 2 2 4 3 7" xfId="4728" xr:uid="{00000000-0005-0000-0000-0000CE120000}"/>
    <cellStyle name="Normal 4 2 2 4 3 7 2" xfId="14054" xr:uid="{16E0E118-C4DA-4A1F-8827-BD6481D81763}"/>
    <cellStyle name="Normal 4 2 2 4 3 8" xfId="9025" xr:uid="{436CB353-A916-4AB2-B5E2-8C1BDAEA1182}"/>
    <cellStyle name="Normal 4 2 2 4 3 8 2" xfId="18349" xr:uid="{8C3AD8E3-45A6-4CD2-8FBF-ED41946602DD}"/>
    <cellStyle name="Normal 4 2 2 4 3 9" xfId="9837" xr:uid="{6D864E99-FFD8-4851-B5F0-325452AA7EF9}"/>
    <cellStyle name="Normal 4 2 2 4 4" xfId="824" xr:uid="{00000000-0005-0000-0000-0000CF120000}"/>
    <cellStyle name="Normal 4 2 2 4 4 2" xfId="3061" xr:uid="{00000000-0005-0000-0000-0000D0120000}"/>
    <cellStyle name="Normal 4 2 2 4 4 2 2" xfId="7283" xr:uid="{00000000-0005-0000-0000-0000D1120000}"/>
    <cellStyle name="Normal 4 2 2 4 4 2 2 2" xfId="16609" xr:uid="{EB3354CA-28E5-4DA2-8138-4EAD5BC6BB52}"/>
    <cellStyle name="Normal 4 2 2 4 4 2 3" xfId="12392" xr:uid="{4EB15435-863D-4BDF-80E1-8D149F4E5F4C}"/>
    <cellStyle name="Normal 4 2 2 4 4 3" xfId="5138" xr:uid="{00000000-0005-0000-0000-0000D2120000}"/>
    <cellStyle name="Normal 4 2 2 4 4 3 2" xfId="14464" xr:uid="{5083EE4E-6233-4191-86B3-A1AFBB12094F}"/>
    <cellStyle name="Normal 4 2 2 4 4 4" xfId="9243" xr:uid="{FD46A281-F5BE-478B-950E-209D1D56FC0E}"/>
    <cellStyle name="Normal 4 2 2 4 4 4 2" xfId="18558" xr:uid="{D99E4BE8-6DD6-421A-A050-299FA9927EF7}"/>
    <cellStyle name="Normal 4 2 2 4 4 5" xfId="10247" xr:uid="{394C7025-A16D-430D-AF13-63D35BA28B1D}"/>
    <cellStyle name="Normal 4 2 2 4 5" xfId="1244" xr:uid="{00000000-0005-0000-0000-0000D3120000}"/>
    <cellStyle name="Normal 4 2 2 4 5 2" xfId="3474" xr:uid="{00000000-0005-0000-0000-0000D4120000}"/>
    <cellStyle name="Normal 4 2 2 4 5 2 2" xfId="7696" xr:uid="{00000000-0005-0000-0000-0000D5120000}"/>
    <cellStyle name="Normal 4 2 2 4 5 2 2 2" xfId="17022" xr:uid="{74F07E1F-719E-4728-818D-46F9137C2132}"/>
    <cellStyle name="Normal 4 2 2 4 5 2 3" xfId="12805" xr:uid="{FCD69CC3-14E2-423A-A1E7-1101A65C2EAF}"/>
    <cellStyle name="Normal 4 2 2 4 5 3" xfId="5551" xr:uid="{00000000-0005-0000-0000-0000D6120000}"/>
    <cellStyle name="Normal 4 2 2 4 5 3 2" xfId="14877" xr:uid="{CB0BE153-8123-45A9-9D28-947D2B22E823}"/>
    <cellStyle name="Normal 4 2 2 4 5 4" xfId="10660" xr:uid="{71055A54-D1E4-47A4-9586-513FC3DB7408}"/>
    <cellStyle name="Normal 4 2 2 4 6" xfId="1657" xr:uid="{00000000-0005-0000-0000-0000D7120000}"/>
    <cellStyle name="Normal 4 2 2 4 6 2" xfId="3887" xr:uid="{00000000-0005-0000-0000-0000D8120000}"/>
    <cellStyle name="Normal 4 2 2 4 6 2 2" xfId="8109" xr:uid="{00000000-0005-0000-0000-0000D9120000}"/>
    <cellStyle name="Normal 4 2 2 4 6 2 2 2" xfId="17435" xr:uid="{86D3486B-D5A8-4564-AC19-674BA041FCAD}"/>
    <cellStyle name="Normal 4 2 2 4 6 2 3" xfId="13218" xr:uid="{BEC91398-49FF-4300-878E-D84F8EC5BE1B}"/>
    <cellStyle name="Normal 4 2 2 4 6 3" xfId="5964" xr:uid="{00000000-0005-0000-0000-0000DA120000}"/>
    <cellStyle name="Normal 4 2 2 4 6 3 2" xfId="15290" xr:uid="{FF7944B0-41DE-4036-90E2-A06E23FDAE93}"/>
    <cellStyle name="Normal 4 2 2 4 6 4" xfId="11073" xr:uid="{65488318-004A-41D8-B64B-60B7CA565A51}"/>
    <cellStyle name="Normal 4 2 2 4 7" xfId="2071" xr:uid="{00000000-0005-0000-0000-0000DB120000}"/>
    <cellStyle name="Normal 4 2 2 4 7 2" xfId="4300" xr:uid="{00000000-0005-0000-0000-0000DC120000}"/>
    <cellStyle name="Normal 4 2 2 4 7 2 2" xfId="8522" xr:uid="{00000000-0005-0000-0000-0000DD120000}"/>
    <cellStyle name="Normal 4 2 2 4 7 2 2 2" xfId="17848" xr:uid="{35734C5B-B4BC-4677-9A24-8A13CB40AE78}"/>
    <cellStyle name="Normal 4 2 2 4 7 2 3" xfId="13631" xr:uid="{97F33623-34A7-4034-B9D8-7CAED772B193}"/>
    <cellStyle name="Normal 4 2 2 4 7 3" xfId="6377" xr:uid="{00000000-0005-0000-0000-0000DE120000}"/>
    <cellStyle name="Normal 4 2 2 4 7 3 2" xfId="15703" xr:uid="{1CA94580-48A9-4977-9ADB-D215CA5F27FA}"/>
    <cellStyle name="Normal 4 2 2 4 7 4" xfId="11486" xr:uid="{7C1ED9B4-BB26-4F6B-BBD4-DB34F24D8455}"/>
    <cellStyle name="Normal 4 2 2 4 8" xfId="2507" xr:uid="{00000000-0005-0000-0000-0000DF120000}"/>
    <cellStyle name="Normal 4 2 2 4 8 2" xfId="6790" xr:uid="{00000000-0005-0000-0000-0000E0120000}"/>
    <cellStyle name="Normal 4 2 2 4 8 2 2" xfId="16116" xr:uid="{C9FB8139-9F2F-48E2-96A6-C5DB8B85F9C7}"/>
    <cellStyle name="Normal 4 2 2 4 8 3" xfId="11899" xr:uid="{941B6F0B-7C2D-4E94-BD8D-AB7463A39DCC}"/>
    <cellStyle name="Normal 4 2 2 4 9" xfId="4725" xr:uid="{00000000-0005-0000-0000-0000E1120000}"/>
    <cellStyle name="Normal 4 2 2 4 9 2" xfId="14051" xr:uid="{5EF2C588-EAD2-4142-9BA2-F09049829438}"/>
    <cellStyle name="Normal 4 2 2 5" xfId="351" xr:uid="{00000000-0005-0000-0000-0000E2120000}"/>
    <cellStyle name="Normal 4 2 2 5 10" xfId="9838" xr:uid="{0D93BB17-0E8A-4038-AE7C-F047F266CC7B}"/>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2 2 2" xfId="16614" xr:uid="{62BA5E48-1693-4A23-8979-2004B1698B3B}"/>
    <cellStyle name="Normal 4 2 2 5 2 2 2 3" xfId="12397" xr:uid="{EC9CC046-E60C-4CF7-A7AA-04F42C98C000}"/>
    <cellStyle name="Normal 4 2 2 5 2 2 3" xfId="5143" xr:uid="{00000000-0005-0000-0000-0000E7120000}"/>
    <cellStyle name="Normal 4 2 2 5 2 2 3 2" xfId="14469" xr:uid="{48FA7986-6751-4BB4-BDE1-D9B155EC7998}"/>
    <cellStyle name="Normal 4 2 2 5 2 2 4" xfId="9487" xr:uid="{83D2756E-B983-4EA9-AB48-FF4D3E821CE4}"/>
    <cellStyle name="Normal 4 2 2 5 2 2 4 2" xfId="18802" xr:uid="{3B1A658E-6DFC-4894-94DF-3E3A4233AA45}"/>
    <cellStyle name="Normal 4 2 2 5 2 2 5" xfId="10252" xr:uid="{5E5036C7-368D-484D-95C1-41DB3B01AFE0}"/>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2 2 2" xfId="17027" xr:uid="{002D9B80-E068-4F56-AF20-6AF0E2A6576C}"/>
    <cellStyle name="Normal 4 2 2 5 2 3 2 3" xfId="12810" xr:uid="{40A6C46B-C0FA-40B0-9920-9F3EBDCA8DC1}"/>
    <cellStyle name="Normal 4 2 2 5 2 3 3" xfId="5556" xr:uid="{00000000-0005-0000-0000-0000EB120000}"/>
    <cellStyle name="Normal 4 2 2 5 2 3 3 2" xfId="14882" xr:uid="{FE170FE7-0F18-4CD6-B331-2E13E2954950}"/>
    <cellStyle name="Normal 4 2 2 5 2 3 4" xfId="10665" xr:uid="{82EE3C02-DEDD-4569-881E-723F0B8CB1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2 2 2" xfId="17440" xr:uid="{222EFB18-C402-4097-BF47-251779B8A890}"/>
    <cellStyle name="Normal 4 2 2 5 2 4 2 3" xfId="13223" xr:uid="{C986CC25-EF1D-4300-A599-4454EFC60295}"/>
    <cellStyle name="Normal 4 2 2 5 2 4 3" xfId="5969" xr:uid="{00000000-0005-0000-0000-0000EF120000}"/>
    <cellStyle name="Normal 4 2 2 5 2 4 3 2" xfId="15295" xr:uid="{90D965BF-E21F-44E2-84A4-586AD07EF7B8}"/>
    <cellStyle name="Normal 4 2 2 5 2 4 4" xfId="11078" xr:uid="{3BAF5E46-9921-4578-87F4-620CDE03B625}"/>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2 2 2" xfId="17853" xr:uid="{D7B5A95B-E39D-4F3F-8906-79A38B7356AB}"/>
    <cellStyle name="Normal 4 2 2 5 2 5 2 3" xfId="13636" xr:uid="{B3101AF4-A18A-4637-9674-2DFFA3DE7EB9}"/>
    <cellStyle name="Normal 4 2 2 5 2 5 3" xfId="6382" xr:uid="{00000000-0005-0000-0000-0000F3120000}"/>
    <cellStyle name="Normal 4 2 2 5 2 5 3 2" xfId="15708" xr:uid="{571E2CAA-692A-4B4A-8BB2-64441E980401}"/>
    <cellStyle name="Normal 4 2 2 5 2 5 4" xfId="11491" xr:uid="{3953CAFF-D3F4-4D41-B510-0B5119E652FE}"/>
    <cellStyle name="Normal 4 2 2 5 2 6" xfId="2512" xr:uid="{00000000-0005-0000-0000-0000F4120000}"/>
    <cellStyle name="Normal 4 2 2 5 2 6 2" xfId="6795" xr:uid="{00000000-0005-0000-0000-0000F5120000}"/>
    <cellStyle name="Normal 4 2 2 5 2 6 2 2" xfId="16121" xr:uid="{81A5A929-4918-42F2-8742-DECFBEF03DEE}"/>
    <cellStyle name="Normal 4 2 2 5 2 6 3" xfId="11904" xr:uid="{97225C8F-784E-4591-AF4D-DA2657419850}"/>
    <cellStyle name="Normal 4 2 2 5 2 7" xfId="4730" xr:uid="{00000000-0005-0000-0000-0000F6120000}"/>
    <cellStyle name="Normal 4 2 2 5 2 7 2" xfId="14056" xr:uid="{1E8BF005-7256-4877-9414-D17F5216E9AC}"/>
    <cellStyle name="Normal 4 2 2 5 2 8" xfId="9062" xr:uid="{FED54422-C2E5-44B3-AA7C-C6088F47A385}"/>
    <cellStyle name="Normal 4 2 2 5 2 8 2" xfId="18386" xr:uid="{336F91D8-CE83-479A-A3B7-1E28635B7738}"/>
    <cellStyle name="Normal 4 2 2 5 2 9" xfId="9839" xr:uid="{7281E599-C7C8-4155-8B09-9CEF2950F9B0}"/>
    <cellStyle name="Normal 4 2 2 5 3" xfId="828" xr:uid="{00000000-0005-0000-0000-0000F7120000}"/>
    <cellStyle name="Normal 4 2 2 5 3 2" xfId="3065" xr:uid="{00000000-0005-0000-0000-0000F8120000}"/>
    <cellStyle name="Normal 4 2 2 5 3 2 2" xfId="7287" xr:uid="{00000000-0005-0000-0000-0000F9120000}"/>
    <cellStyle name="Normal 4 2 2 5 3 2 2 2" xfId="16613" xr:uid="{949D00E0-A851-4821-ACB2-D29AFD19EB22}"/>
    <cellStyle name="Normal 4 2 2 5 3 2 3" xfId="12396" xr:uid="{A60866B6-9199-4735-B771-B6DF5BC55C39}"/>
    <cellStyle name="Normal 4 2 2 5 3 3" xfId="5142" xr:uid="{00000000-0005-0000-0000-0000FA120000}"/>
    <cellStyle name="Normal 4 2 2 5 3 3 2" xfId="14468" xr:uid="{FE5F9A58-8548-42BF-B121-7895BEA03B89}"/>
    <cellStyle name="Normal 4 2 2 5 3 4" xfId="9280" xr:uid="{C70B18D8-E279-4D37-82EF-3177E9FA554F}"/>
    <cellStyle name="Normal 4 2 2 5 3 4 2" xfId="18595" xr:uid="{CDB30BB1-72A3-46B3-B14A-C63CC65583C3}"/>
    <cellStyle name="Normal 4 2 2 5 3 5" xfId="10251" xr:uid="{25E9F7EE-48CA-4B76-8D7F-7CDA4A5EA36C}"/>
    <cellStyle name="Normal 4 2 2 5 4" xfId="1248" xr:uid="{00000000-0005-0000-0000-0000FB120000}"/>
    <cellStyle name="Normal 4 2 2 5 4 2" xfId="3478" xr:uid="{00000000-0005-0000-0000-0000FC120000}"/>
    <cellStyle name="Normal 4 2 2 5 4 2 2" xfId="7700" xr:uid="{00000000-0005-0000-0000-0000FD120000}"/>
    <cellStyle name="Normal 4 2 2 5 4 2 2 2" xfId="17026" xr:uid="{0895757A-772D-48F6-9607-7BB0C80FCAFA}"/>
    <cellStyle name="Normal 4 2 2 5 4 2 3" xfId="12809" xr:uid="{316BAF70-BF23-4854-B49E-649C8DA91E57}"/>
    <cellStyle name="Normal 4 2 2 5 4 3" xfId="5555" xr:uid="{00000000-0005-0000-0000-0000FE120000}"/>
    <cellStyle name="Normal 4 2 2 5 4 3 2" xfId="14881" xr:uid="{E8D0B925-FAD8-450A-9873-4661850FD017}"/>
    <cellStyle name="Normal 4 2 2 5 4 4" xfId="10664" xr:uid="{EAEF5B98-9364-495D-B5CC-602FF4B19070}"/>
    <cellStyle name="Normal 4 2 2 5 5" xfId="1661" xr:uid="{00000000-0005-0000-0000-0000FF120000}"/>
    <cellStyle name="Normal 4 2 2 5 5 2" xfId="3891" xr:uid="{00000000-0005-0000-0000-000000130000}"/>
    <cellStyle name="Normal 4 2 2 5 5 2 2" xfId="8113" xr:uid="{00000000-0005-0000-0000-000001130000}"/>
    <cellStyle name="Normal 4 2 2 5 5 2 2 2" xfId="17439" xr:uid="{4B919A8B-A41D-4795-A591-79AB39B9F973}"/>
    <cellStyle name="Normal 4 2 2 5 5 2 3" xfId="13222" xr:uid="{B2CC7E4C-F3DE-4F4C-8570-F215EBA195F5}"/>
    <cellStyle name="Normal 4 2 2 5 5 3" xfId="5968" xr:uid="{00000000-0005-0000-0000-000002130000}"/>
    <cellStyle name="Normal 4 2 2 5 5 3 2" xfId="15294" xr:uid="{D1EA10FC-2FCB-48CA-8C85-3D1F35D29AB8}"/>
    <cellStyle name="Normal 4 2 2 5 5 4" xfId="11077" xr:uid="{36B7C2DD-1C2F-4408-B477-899CC6BB46BE}"/>
    <cellStyle name="Normal 4 2 2 5 6" xfId="2075" xr:uid="{00000000-0005-0000-0000-000003130000}"/>
    <cellStyle name="Normal 4 2 2 5 6 2" xfId="4304" xr:uid="{00000000-0005-0000-0000-000004130000}"/>
    <cellStyle name="Normal 4 2 2 5 6 2 2" xfId="8526" xr:uid="{00000000-0005-0000-0000-000005130000}"/>
    <cellStyle name="Normal 4 2 2 5 6 2 2 2" xfId="17852" xr:uid="{C5CC25EC-B9DE-4B3F-B726-2D3645656620}"/>
    <cellStyle name="Normal 4 2 2 5 6 2 3" xfId="13635" xr:uid="{D841D424-4E7F-4060-BB22-54EED4FE8EF7}"/>
    <cellStyle name="Normal 4 2 2 5 6 3" xfId="6381" xr:uid="{00000000-0005-0000-0000-000006130000}"/>
    <cellStyle name="Normal 4 2 2 5 6 3 2" xfId="15707" xr:uid="{F97CE98D-7A89-4E14-B9B3-1E618A2205BB}"/>
    <cellStyle name="Normal 4 2 2 5 6 4" xfId="11490" xr:uid="{60D02FF3-CF7D-4CFA-890E-B06507CA691B}"/>
    <cellStyle name="Normal 4 2 2 5 7" xfId="2511" xr:uid="{00000000-0005-0000-0000-000007130000}"/>
    <cellStyle name="Normal 4 2 2 5 7 2" xfId="6794" xr:uid="{00000000-0005-0000-0000-000008130000}"/>
    <cellStyle name="Normal 4 2 2 5 7 2 2" xfId="16120" xr:uid="{3F91986F-6FA7-43A9-902F-3F943470DC44}"/>
    <cellStyle name="Normal 4 2 2 5 7 3" xfId="11903" xr:uid="{61208D82-9DE2-4FCD-A666-DB0455016A81}"/>
    <cellStyle name="Normal 4 2 2 5 8" xfId="4729" xr:uid="{00000000-0005-0000-0000-000009130000}"/>
    <cellStyle name="Normal 4 2 2 5 8 2" xfId="14055" xr:uid="{C60EBC63-96C5-437D-855A-FC64A56AE5F9}"/>
    <cellStyle name="Normal 4 2 2 5 9" xfId="8855" xr:uid="{894DEE8B-A5CD-4C4E-B41D-DCEB92717109}"/>
    <cellStyle name="Normal 4 2 2 5 9 2" xfId="18179" xr:uid="{FD19676E-0527-4221-98FB-76BCB5BBB1EF}"/>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2 2 2" xfId="16615" xr:uid="{BE17852D-D7D2-4143-AA11-2FA7CD003B82}"/>
    <cellStyle name="Normal 4 2 2 6 2 2 3" xfId="12398" xr:uid="{3E15149F-4651-4C13-A755-2481B3F66A15}"/>
    <cellStyle name="Normal 4 2 2 6 2 3" xfId="5144" xr:uid="{00000000-0005-0000-0000-00000E130000}"/>
    <cellStyle name="Normal 4 2 2 6 2 3 2" xfId="14470" xr:uid="{3A0FC354-9974-490B-A706-38DF5BB359F6}"/>
    <cellStyle name="Normal 4 2 2 6 2 4" xfId="9396" xr:uid="{5B10E6C6-987A-4149-BB81-321A07C7666F}"/>
    <cellStyle name="Normal 4 2 2 6 2 4 2" xfId="18711" xr:uid="{7FE5F3F8-6DE7-4618-8456-0B5BD5809278}"/>
    <cellStyle name="Normal 4 2 2 6 2 5" xfId="10253" xr:uid="{1ABC31B2-61FD-4A54-BA77-764B3402BFB4}"/>
    <cellStyle name="Normal 4 2 2 6 3" xfId="1250" xr:uid="{00000000-0005-0000-0000-00000F130000}"/>
    <cellStyle name="Normal 4 2 2 6 3 2" xfId="3480" xr:uid="{00000000-0005-0000-0000-000010130000}"/>
    <cellStyle name="Normal 4 2 2 6 3 2 2" xfId="7702" xr:uid="{00000000-0005-0000-0000-000011130000}"/>
    <cellStyle name="Normal 4 2 2 6 3 2 2 2" xfId="17028" xr:uid="{B9FD4352-37A0-47C1-AECD-E558A84E6435}"/>
    <cellStyle name="Normal 4 2 2 6 3 2 3" xfId="12811" xr:uid="{485273F1-EC0B-49C9-9055-146670DD2BC9}"/>
    <cellStyle name="Normal 4 2 2 6 3 3" xfId="5557" xr:uid="{00000000-0005-0000-0000-000012130000}"/>
    <cellStyle name="Normal 4 2 2 6 3 3 2" xfId="14883" xr:uid="{3D0F972D-0225-4CEB-BBC0-088A5915CC4C}"/>
    <cellStyle name="Normal 4 2 2 6 3 4" xfId="10666" xr:uid="{5AEDEB27-0632-401F-BD22-E51C56D9BF11}"/>
    <cellStyle name="Normal 4 2 2 6 4" xfId="1663" xr:uid="{00000000-0005-0000-0000-000013130000}"/>
    <cellStyle name="Normal 4 2 2 6 4 2" xfId="3893" xr:uid="{00000000-0005-0000-0000-000014130000}"/>
    <cellStyle name="Normal 4 2 2 6 4 2 2" xfId="8115" xr:uid="{00000000-0005-0000-0000-000015130000}"/>
    <cellStyle name="Normal 4 2 2 6 4 2 2 2" xfId="17441" xr:uid="{812BDAF5-A53A-4B36-B5F7-32123757FBD4}"/>
    <cellStyle name="Normal 4 2 2 6 4 2 3" xfId="13224" xr:uid="{EE002ADD-1666-40AA-95AC-CFE27BF8AD28}"/>
    <cellStyle name="Normal 4 2 2 6 4 3" xfId="5970" xr:uid="{00000000-0005-0000-0000-000016130000}"/>
    <cellStyle name="Normal 4 2 2 6 4 3 2" xfId="15296" xr:uid="{FCBA49AD-D4D9-4142-A100-056F53290FC9}"/>
    <cellStyle name="Normal 4 2 2 6 4 4" xfId="11079" xr:uid="{82CAA47C-511E-401A-BB2F-EFD13E497E72}"/>
    <cellStyle name="Normal 4 2 2 6 5" xfId="2077" xr:uid="{00000000-0005-0000-0000-000017130000}"/>
    <cellStyle name="Normal 4 2 2 6 5 2" xfId="4306" xr:uid="{00000000-0005-0000-0000-000018130000}"/>
    <cellStyle name="Normal 4 2 2 6 5 2 2" xfId="8528" xr:uid="{00000000-0005-0000-0000-000019130000}"/>
    <cellStyle name="Normal 4 2 2 6 5 2 2 2" xfId="17854" xr:uid="{93745B5F-2EC2-4037-91A7-14A5FB0960CA}"/>
    <cellStyle name="Normal 4 2 2 6 5 2 3" xfId="13637" xr:uid="{FC4FF013-7A2D-4312-8F30-6D2276A6DDB8}"/>
    <cellStyle name="Normal 4 2 2 6 5 3" xfId="6383" xr:uid="{00000000-0005-0000-0000-00001A130000}"/>
    <cellStyle name="Normal 4 2 2 6 5 3 2" xfId="15709" xr:uid="{65549304-53DA-46C9-BF94-02DF36C24A12}"/>
    <cellStyle name="Normal 4 2 2 6 5 4" xfId="11492" xr:uid="{0EF9AAB2-46B7-487A-84DE-F42049C05E98}"/>
    <cellStyle name="Normal 4 2 2 6 6" xfId="2513" xr:uid="{00000000-0005-0000-0000-00001B130000}"/>
    <cellStyle name="Normal 4 2 2 6 6 2" xfId="6796" xr:uid="{00000000-0005-0000-0000-00001C130000}"/>
    <cellStyle name="Normal 4 2 2 6 6 2 2" xfId="16122" xr:uid="{897BECCC-ACC5-4BDE-906D-D9F6B064DC5B}"/>
    <cellStyle name="Normal 4 2 2 6 6 3" xfId="11905" xr:uid="{6BE4365F-F59D-4BC7-BBBC-70F8968621A1}"/>
    <cellStyle name="Normal 4 2 2 6 7" xfId="4731" xr:uid="{00000000-0005-0000-0000-00001D130000}"/>
    <cellStyle name="Normal 4 2 2 6 7 2" xfId="14057" xr:uid="{9DA4886F-49F1-48FF-B2A5-BAA76583C69E}"/>
    <cellStyle name="Normal 4 2 2 6 8" xfId="8971" xr:uid="{7BBA3CD4-2D32-439A-A2D5-9F7EB5E5A47E}"/>
    <cellStyle name="Normal 4 2 2 6 8 2" xfId="18295" xr:uid="{2CE0AA61-3239-4781-BF7E-6222CE23D993}"/>
    <cellStyle name="Normal 4 2 2 6 9" xfId="9840" xr:uid="{6E271C67-8596-493C-B6C1-895CA31E91C3}"/>
    <cellStyle name="Normal 4 2 2 7" xfId="815" xr:uid="{00000000-0005-0000-0000-00001E130000}"/>
    <cellStyle name="Normal 4 2 2 7 2" xfId="3052" xr:uid="{00000000-0005-0000-0000-00001F130000}"/>
    <cellStyle name="Normal 4 2 2 7 2 2" xfId="7274" xr:uid="{00000000-0005-0000-0000-000020130000}"/>
    <cellStyle name="Normal 4 2 2 7 2 2 2" xfId="16600" xr:uid="{252EDB21-8780-49FB-88DD-BEE46FAA82C3}"/>
    <cellStyle name="Normal 4 2 2 7 2 3" xfId="12383" xr:uid="{C5BDE749-EAF2-40FF-8762-EA8D315E2754}"/>
    <cellStyle name="Normal 4 2 2 7 3" xfId="5129" xr:uid="{00000000-0005-0000-0000-000021130000}"/>
    <cellStyle name="Normal 4 2 2 7 3 2" xfId="14455" xr:uid="{5C2FF5D5-B545-443F-8435-8EFEEF8B1AB3}"/>
    <cellStyle name="Normal 4 2 2 7 4" xfId="9174" xr:uid="{5FB177AF-8B2E-4B7E-A1B7-4F6E323AF880}"/>
    <cellStyle name="Normal 4 2 2 7 4 2" xfId="18492" xr:uid="{CEBA5018-05E1-412E-9155-ED8D5CF9EE9E}"/>
    <cellStyle name="Normal 4 2 2 7 5" xfId="10238" xr:uid="{F3D0D3AF-24E0-4CE8-A84E-C6BDCBD45063}"/>
    <cellStyle name="Normal 4 2 2 8" xfId="1235" xr:uid="{00000000-0005-0000-0000-000022130000}"/>
    <cellStyle name="Normal 4 2 2 8 2" xfId="3465" xr:uid="{00000000-0005-0000-0000-000023130000}"/>
    <cellStyle name="Normal 4 2 2 8 2 2" xfId="7687" xr:uid="{00000000-0005-0000-0000-000024130000}"/>
    <cellStyle name="Normal 4 2 2 8 2 2 2" xfId="17013" xr:uid="{EC28A0B1-07D3-4683-999D-C8D87DB8846A}"/>
    <cellStyle name="Normal 4 2 2 8 2 3" xfId="12796" xr:uid="{CD96E7F2-7E83-4C46-81F3-67A9ABAE93CF}"/>
    <cellStyle name="Normal 4 2 2 8 3" xfId="5542" xr:uid="{00000000-0005-0000-0000-000025130000}"/>
    <cellStyle name="Normal 4 2 2 8 3 2" xfId="14868" xr:uid="{F65AEAEB-4A1F-4F79-86E2-60E82FBDB6C5}"/>
    <cellStyle name="Normal 4 2 2 8 4" xfId="10651" xr:uid="{B5C335AF-6403-43D1-86B4-37AF98569FAC}"/>
    <cellStyle name="Normal 4 2 2 9" xfId="1648" xr:uid="{00000000-0005-0000-0000-000026130000}"/>
    <cellStyle name="Normal 4 2 2 9 2" xfId="3878" xr:uid="{00000000-0005-0000-0000-000027130000}"/>
    <cellStyle name="Normal 4 2 2 9 2 2" xfId="8100" xr:uid="{00000000-0005-0000-0000-000028130000}"/>
    <cellStyle name="Normal 4 2 2 9 2 2 2" xfId="17426" xr:uid="{73BBAB7D-F170-421F-B519-03FD66498531}"/>
    <cellStyle name="Normal 4 2 2 9 2 3" xfId="13209" xr:uid="{8151D4CC-62E1-49BA-B8A2-A4E03C8D4852}"/>
    <cellStyle name="Normal 4 2 2 9 3" xfId="5955" xr:uid="{00000000-0005-0000-0000-000029130000}"/>
    <cellStyle name="Normal 4 2 2 9 3 2" xfId="15281" xr:uid="{FE866317-B913-4451-9100-D20348EAC84B}"/>
    <cellStyle name="Normal 4 2 2 9 4" xfId="11064" xr:uid="{366171DF-31E6-4D51-BBCC-57A8BB0A2660}"/>
    <cellStyle name="Normal 4 2 3" xfId="354" xr:uid="{00000000-0005-0000-0000-00002A130000}"/>
    <cellStyle name="Normal 4 2 4" xfId="355" xr:uid="{00000000-0005-0000-0000-00002B130000}"/>
    <cellStyle name="Normal 4 2 4 10" xfId="4732" xr:uid="{00000000-0005-0000-0000-00002C130000}"/>
    <cellStyle name="Normal 4 2 4 10 2" xfId="14058" xr:uid="{BAA2B111-9CFA-4DBC-8A84-E2E720D3BACF}"/>
    <cellStyle name="Normal 4 2 4 11" xfId="8775" xr:uid="{7AC259AB-9C32-4DC1-A787-2E2187A7C2D6}"/>
    <cellStyle name="Normal 4 2 4 11 2" xfId="18099" xr:uid="{F17ADD01-8B06-486E-A195-D2811E7B08B2}"/>
    <cellStyle name="Normal 4 2 4 12" xfId="9841" xr:uid="{D1643D88-DACE-4BA8-AB23-72B409CF76A5}"/>
    <cellStyle name="Normal 4 2 4 2" xfId="356" xr:uid="{00000000-0005-0000-0000-00002D130000}"/>
    <cellStyle name="Normal 4 2 4 2 10" xfId="8820" xr:uid="{8B50D4F4-4786-467C-8322-69D665B73C2B}"/>
    <cellStyle name="Normal 4 2 4 2 10 2" xfId="18144" xr:uid="{6B14580D-7762-469A-9F5A-6CF59BD68881}"/>
    <cellStyle name="Normal 4 2 4 2 11" xfId="9842" xr:uid="{D672378E-CB0B-46FB-BF0A-DDCD838FE071}"/>
    <cellStyle name="Normal 4 2 4 2 2" xfId="357" xr:uid="{00000000-0005-0000-0000-00002E130000}"/>
    <cellStyle name="Normal 4 2 4 2 2 10" xfId="9843" xr:uid="{CB3A3291-2683-49F0-BE5F-0BE94D0D312C}"/>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2 2 2" xfId="16619" xr:uid="{73DF9BCB-D123-4327-A40D-6185EAA8D309}"/>
    <cellStyle name="Normal 4 2 4 2 2 2 2 2 3" xfId="12402" xr:uid="{883121D8-FED4-4A29-879A-C99031B1CD8B}"/>
    <cellStyle name="Normal 4 2 4 2 2 2 2 3" xfId="5148" xr:uid="{00000000-0005-0000-0000-000033130000}"/>
    <cellStyle name="Normal 4 2 4 2 2 2 2 3 2" xfId="14474" xr:uid="{BCD82BDC-DA21-42DA-9B6E-923451AF16DC}"/>
    <cellStyle name="Normal 4 2 4 2 2 2 2 4" xfId="9555" xr:uid="{31AE7BD4-4F26-4658-9939-15FCE733560E}"/>
    <cellStyle name="Normal 4 2 4 2 2 2 2 4 2" xfId="18870" xr:uid="{5AAD3E54-4119-4C81-BEED-D1B229991565}"/>
    <cellStyle name="Normal 4 2 4 2 2 2 2 5" xfId="10257" xr:uid="{A57B24B5-90E2-46DA-8C08-55C97A24290D}"/>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2 2 2" xfId="17032" xr:uid="{9FF12A5E-FDA7-4D29-A3B6-9E9101B75C0A}"/>
    <cellStyle name="Normal 4 2 4 2 2 2 3 2 3" xfId="12815" xr:uid="{89CEA51F-B12D-4824-9466-5348F935B53E}"/>
    <cellStyle name="Normal 4 2 4 2 2 2 3 3" xfId="5561" xr:uid="{00000000-0005-0000-0000-000037130000}"/>
    <cellStyle name="Normal 4 2 4 2 2 2 3 3 2" xfId="14887" xr:uid="{1D2DDD95-A794-41F4-818C-D16B10EDB62F}"/>
    <cellStyle name="Normal 4 2 4 2 2 2 3 4" xfId="10670" xr:uid="{1785E603-C7BE-4A99-A7F7-E21313C36CBE}"/>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2 2 2" xfId="17445" xr:uid="{5A7310F5-2E10-406C-AB0D-3FD5ADBE1C06}"/>
    <cellStyle name="Normal 4 2 4 2 2 2 4 2 3" xfId="13228" xr:uid="{43689552-C6DC-4A6C-91C3-EAACF6C105B1}"/>
    <cellStyle name="Normal 4 2 4 2 2 2 4 3" xfId="5974" xr:uid="{00000000-0005-0000-0000-00003B130000}"/>
    <cellStyle name="Normal 4 2 4 2 2 2 4 3 2" xfId="15300" xr:uid="{9E19F96B-600E-4BAA-A5CD-DD17668D4E30}"/>
    <cellStyle name="Normal 4 2 4 2 2 2 4 4" xfId="11083" xr:uid="{B24A3400-2F5C-415F-A6EC-36224C3D7E57}"/>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2 2 2" xfId="17858" xr:uid="{7189C785-BEE3-450F-BB8C-E2548CAAEFC6}"/>
    <cellStyle name="Normal 4 2 4 2 2 2 5 2 3" xfId="13641" xr:uid="{EDDAC9E6-0FAF-46DD-9588-39E50903B173}"/>
    <cellStyle name="Normal 4 2 4 2 2 2 5 3" xfId="6387" xr:uid="{00000000-0005-0000-0000-00003F130000}"/>
    <cellStyle name="Normal 4 2 4 2 2 2 5 3 2" xfId="15713" xr:uid="{735652BA-4225-45EC-B699-8CA6A5FC3B6F}"/>
    <cellStyle name="Normal 4 2 4 2 2 2 5 4" xfId="11496" xr:uid="{A39D2310-C733-4133-9CDA-D4C97D016B78}"/>
    <cellStyle name="Normal 4 2 4 2 2 2 6" xfId="2517" xr:uid="{00000000-0005-0000-0000-000040130000}"/>
    <cellStyle name="Normal 4 2 4 2 2 2 6 2" xfId="6800" xr:uid="{00000000-0005-0000-0000-000041130000}"/>
    <cellStyle name="Normal 4 2 4 2 2 2 6 2 2" xfId="16126" xr:uid="{6C3B22F8-6480-4C95-A4BC-D469DCAE8C53}"/>
    <cellStyle name="Normal 4 2 4 2 2 2 6 3" xfId="11909" xr:uid="{709C8DE9-1976-46BC-BC42-7DC9C26D101A}"/>
    <cellStyle name="Normal 4 2 4 2 2 2 7" xfId="4735" xr:uid="{00000000-0005-0000-0000-000042130000}"/>
    <cellStyle name="Normal 4 2 4 2 2 2 7 2" xfId="14061" xr:uid="{28214915-5689-4927-AB90-DD2B6BBE7565}"/>
    <cellStyle name="Normal 4 2 4 2 2 2 8" xfId="9130" xr:uid="{E4AAEB37-D6CE-4BD9-A166-BE52F754DAC4}"/>
    <cellStyle name="Normal 4 2 4 2 2 2 8 2" xfId="18454" xr:uid="{C0FDEE9A-B322-42B8-9094-C4A15A46190D}"/>
    <cellStyle name="Normal 4 2 4 2 2 2 9" xfId="9844" xr:uid="{338DF25F-7B42-4814-AB89-1606392DC9D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2 2 2" xfId="16618" xr:uid="{DD8C7712-EAB1-4DFC-AAE4-470DDAF7300B}"/>
    <cellStyle name="Normal 4 2 4 2 2 3 2 3" xfId="12401" xr:uid="{6100F11C-2162-4558-BBEC-ED01FB669D77}"/>
    <cellStyle name="Normal 4 2 4 2 2 3 3" xfId="5147" xr:uid="{00000000-0005-0000-0000-000046130000}"/>
    <cellStyle name="Normal 4 2 4 2 2 3 3 2" xfId="14473" xr:uid="{8023FBDB-4F8F-4189-B63B-7A2E1B0265CD}"/>
    <cellStyle name="Normal 4 2 4 2 2 3 4" xfId="9348" xr:uid="{E9E52CF6-B3CF-482F-B496-A22B0452951D}"/>
    <cellStyle name="Normal 4 2 4 2 2 3 4 2" xfId="18663" xr:uid="{A8635C6E-AD9D-4C8F-B02E-6552C648F0DC}"/>
    <cellStyle name="Normal 4 2 4 2 2 3 5" xfId="10256" xr:uid="{199D62E7-166F-4AB3-88CD-CA5B24E50C10}"/>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2 2 2" xfId="17031" xr:uid="{8933BB2C-09E3-41ED-AEC5-9A41CD8F4A0F}"/>
    <cellStyle name="Normal 4 2 4 2 2 4 2 3" xfId="12814" xr:uid="{66C52CC1-54BD-43BA-9807-5266FF48616C}"/>
    <cellStyle name="Normal 4 2 4 2 2 4 3" xfId="5560" xr:uid="{00000000-0005-0000-0000-00004A130000}"/>
    <cellStyle name="Normal 4 2 4 2 2 4 3 2" xfId="14886" xr:uid="{A1BB6DE8-CCA2-455C-BF66-FF517F2C1933}"/>
    <cellStyle name="Normal 4 2 4 2 2 4 4" xfId="10669" xr:uid="{F02B7434-FEE8-4116-831F-90C7135ED4D7}"/>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2 2 2" xfId="17444" xr:uid="{8220160F-7CE5-4358-A458-D66F187D3AE5}"/>
    <cellStyle name="Normal 4 2 4 2 2 5 2 3" xfId="13227" xr:uid="{EAE16559-72D0-407A-AD73-739B52F9F722}"/>
    <cellStyle name="Normal 4 2 4 2 2 5 3" xfId="5973" xr:uid="{00000000-0005-0000-0000-00004E130000}"/>
    <cellStyle name="Normal 4 2 4 2 2 5 3 2" xfId="15299" xr:uid="{4895940C-F9A6-4741-B1B6-9535D54486B2}"/>
    <cellStyle name="Normal 4 2 4 2 2 5 4" xfId="11082" xr:uid="{3519A915-209C-4F81-ABAF-8E546EDB7EB2}"/>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2 2 2" xfId="17857" xr:uid="{1E686783-8EE7-42E7-B847-ADCCE5645CDD}"/>
    <cellStyle name="Normal 4 2 4 2 2 6 2 3" xfId="13640" xr:uid="{0E7E0134-AF84-4B68-A1D5-6E53134264F8}"/>
    <cellStyle name="Normal 4 2 4 2 2 6 3" xfId="6386" xr:uid="{00000000-0005-0000-0000-000052130000}"/>
    <cellStyle name="Normal 4 2 4 2 2 6 3 2" xfId="15712" xr:uid="{FEFEE4D0-0C18-4589-B509-E497F6C11F37}"/>
    <cellStyle name="Normal 4 2 4 2 2 6 4" xfId="11495" xr:uid="{C505D035-4E26-452F-83E5-7BCB1D9DE064}"/>
    <cellStyle name="Normal 4 2 4 2 2 7" xfId="2516" xr:uid="{00000000-0005-0000-0000-000053130000}"/>
    <cellStyle name="Normal 4 2 4 2 2 7 2" xfId="6799" xr:uid="{00000000-0005-0000-0000-000054130000}"/>
    <cellStyle name="Normal 4 2 4 2 2 7 2 2" xfId="16125" xr:uid="{1CF60DC4-0BBE-4566-8611-9E9AA22ACA47}"/>
    <cellStyle name="Normal 4 2 4 2 2 7 3" xfId="11908" xr:uid="{0A5B462A-6CD1-4524-B47A-28DB24AE0055}"/>
    <cellStyle name="Normal 4 2 4 2 2 8" xfId="4734" xr:uid="{00000000-0005-0000-0000-000055130000}"/>
    <cellStyle name="Normal 4 2 4 2 2 8 2" xfId="14060" xr:uid="{58E82F3F-7186-4100-A224-86658670C864}"/>
    <cellStyle name="Normal 4 2 4 2 2 9" xfId="8923" xr:uid="{2BBE6936-33B8-4624-9F85-2EE83C62ACB2}"/>
    <cellStyle name="Normal 4 2 4 2 2 9 2" xfId="18247" xr:uid="{9E7FCDD8-2B5A-46C7-9061-786F25BB256E}"/>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2 2 2" xfId="16620" xr:uid="{0E381A4E-0174-4DAD-8A21-EA53ACE41C1A}"/>
    <cellStyle name="Normal 4 2 4 2 3 2 2 3" xfId="12403" xr:uid="{BC20937B-99CB-4893-969C-39CEBD90D5DF}"/>
    <cellStyle name="Normal 4 2 4 2 3 2 3" xfId="5149" xr:uid="{00000000-0005-0000-0000-00005A130000}"/>
    <cellStyle name="Normal 4 2 4 2 3 2 3 2" xfId="14475" xr:uid="{366D7C5E-401B-46D3-BAC2-8CD37BC4EB77}"/>
    <cellStyle name="Normal 4 2 4 2 3 2 4" xfId="9452" xr:uid="{58F46659-8F00-4705-8554-54AEBE9B8A77}"/>
    <cellStyle name="Normal 4 2 4 2 3 2 4 2" xfId="18767" xr:uid="{776856B6-19EE-4ABC-BA5E-3647340EAED2}"/>
    <cellStyle name="Normal 4 2 4 2 3 2 5" xfId="10258" xr:uid="{9E9733AF-63B4-4A7C-A3BE-F84ACAAE65CD}"/>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2 2 2" xfId="17033" xr:uid="{63E720AB-3D15-48B9-98BF-234D54162C2B}"/>
    <cellStyle name="Normal 4 2 4 2 3 3 2 3" xfId="12816" xr:uid="{FEEC6C3C-BF54-4EDD-A9AA-F1552BC4A38B}"/>
    <cellStyle name="Normal 4 2 4 2 3 3 3" xfId="5562" xr:uid="{00000000-0005-0000-0000-00005E130000}"/>
    <cellStyle name="Normal 4 2 4 2 3 3 3 2" xfId="14888" xr:uid="{7C076E4C-BD21-4563-9825-E6B2AE290FB5}"/>
    <cellStyle name="Normal 4 2 4 2 3 3 4" xfId="10671" xr:uid="{CBC1FF3E-F53C-4930-97E4-38F33ACCF1A5}"/>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2 2 2" xfId="17446" xr:uid="{BB2ACD77-46DC-45C5-A541-BDE86F8098DA}"/>
    <cellStyle name="Normal 4 2 4 2 3 4 2 3" xfId="13229" xr:uid="{B2599AB8-E769-43E7-801A-53195F7627D9}"/>
    <cellStyle name="Normal 4 2 4 2 3 4 3" xfId="5975" xr:uid="{00000000-0005-0000-0000-000062130000}"/>
    <cellStyle name="Normal 4 2 4 2 3 4 3 2" xfId="15301" xr:uid="{91F4B8F8-3EF5-40EB-9AF4-1C53A667CC3C}"/>
    <cellStyle name="Normal 4 2 4 2 3 4 4" xfId="11084" xr:uid="{73FD0922-4FD9-4B6B-AF7F-B8FE0D4A66A8}"/>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2 2 2" xfId="17859" xr:uid="{CE82F715-F661-4746-A504-8EB5515A173D}"/>
    <cellStyle name="Normal 4 2 4 2 3 5 2 3" xfId="13642" xr:uid="{F0D967FF-3C71-445B-A3E7-BC694056A689}"/>
    <cellStyle name="Normal 4 2 4 2 3 5 3" xfId="6388" xr:uid="{00000000-0005-0000-0000-000066130000}"/>
    <cellStyle name="Normal 4 2 4 2 3 5 3 2" xfId="15714" xr:uid="{2EDDED37-04BC-4E44-90F9-8B51185D1A20}"/>
    <cellStyle name="Normal 4 2 4 2 3 5 4" xfId="11497" xr:uid="{F65FC8FB-3C27-435B-9791-DB4400017CF2}"/>
    <cellStyle name="Normal 4 2 4 2 3 6" xfId="2518" xr:uid="{00000000-0005-0000-0000-000067130000}"/>
    <cellStyle name="Normal 4 2 4 2 3 6 2" xfId="6801" xr:uid="{00000000-0005-0000-0000-000068130000}"/>
    <cellStyle name="Normal 4 2 4 2 3 6 2 2" xfId="16127" xr:uid="{33CEB8B8-8570-46EB-AB1B-E8009F51E216}"/>
    <cellStyle name="Normal 4 2 4 2 3 6 3" xfId="11910" xr:uid="{DFEE579E-87D5-4819-ACE5-821405375999}"/>
    <cellStyle name="Normal 4 2 4 2 3 7" xfId="4736" xr:uid="{00000000-0005-0000-0000-000069130000}"/>
    <cellStyle name="Normal 4 2 4 2 3 7 2" xfId="14062" xr:uid="{B537BA1A-B947-4057-A48E-A92D8798558C}"/>
    <cellStyle name="Normal 4 2 4 2 3 8" xfId="9027" xr:uid="{DA430019-E492-48BB-ACD5-5BE853C50FBC}"/>
    <cellStyle name="Normal 4 2 4 2 3 8 2" xfId="18351" xr:uid="{EEF493BD-0470-446E-A380-F5815CBBF0F1}"/>
    <cellStyle name="Normal 4 2 4 2 3 9" xfId="9845" xr:uid="{27382866-AEB5-4AA3-B093-8D9B36B38424}"/>
    <cellStyle name="Normal 4 2 4 2 4" xfId="832" xr:uid="{00000000-0005-0000-0000-00006A130000}"/>
    <cellStyle name="Normal 4 2 4 2 4 2" xfId="3069" xr:uid="{00000000-0005-0000-0000-00006B130000}"/>
    <cellStyle name="Normal 4 2 4 2 4 2 2" xfId="7291" xr:uid="{00000000-0005-0000-0000-00006C130000}"/>
    <cellStyle name="Normal 4 2 4 2 4 2 2 2" xfId="16617" xr:uid="{6EF0616C-FB1D-412F-892E-18CD6BDAB305}"/>
    <cellStyle name="Normal 4 2 4 2 4 2 3" xfId="12400" xr:uid="{5D26A0F7-9813-413B-9528-6D1DA29EEADC}"/>
    <cellStyle name="Normal 4 2 4 2 4 3" xfId="5146" xr:uid="{00000000-0005-0000-0000-00006D130000}"/>
    <cellStyle name="Normal 4 2 4 2 4 3 2" xfId="14472" xr:uid="{0A0C99E7-F05E-4DAC-8F61-C5CA83814B27}"/>
    <cellStyle name="Normal 4 2 4 2 4 4" xfId="9245" xr:uid="{A0383DD8-843E-4601-922A-5CDD979D0589}"/>
    <cellStyle name="Normal 4 2 4 2 4 4 2" xfId="18560" xr:uid="{F96D7068-75E7-4783-9BD7-DDB68D1978E6}"/>
    <cellStyle name="Normal 4 2 4 2 4 5" xfId="10255" xr:uid="{D459A452-A5F4-4116-9731-CADD1F64F178}"/>
    <cellStyle name="Normal 4 2 4 2 5" xfId="1252" xr:uid="{00000000-0005-0000-0000-00006E130000}"/>
    <cellStyle name="Normal 4 2 4 2 5 2" xfId="3482" xr:uid="{00000000-0005-0000-0000-00006F130000}"/>
    <cellStyle name="Normal 4 2 4 2 5 2 2" xfId="7704" xr:uid="{00000000-0005-0000-0000-000070130000}"/>
    <cellStyle name="Normal 4 2 4 2 5 2 2 2" xfId="17030" xr:uid="{2BD640B9-BE25-4758-A16F-1D12C3D30D41}"/>
    <cellStyle name="Normal 4 2 4 2 5 2 3" xfId="12813" xr:uid="{E0454336-B6ED-4886-94EA-B025B2216DB1}"/>
    <cellStyle name="Normal 4 2 4 2 5 3" xfId="5559" xr:uid="{00000000-0005-0000-0000-000071130000}"/>
    <cellStyle name="Normal 4 2 4 2 5 3 2" xfId="14885" xr:uid="{54A62F79-5FED-49FB-B0D3-B8F1AB90C408}"/>
    <cellStyle name="Normal 4 2 4 2 5 4" xfId="10668" xr:uid="{76F98142-0633-43DE-BC24-7AF284D621D9}"/>
    <cellStyle name="Normal 4 2 4 2 6" xfId="1665" xr:uid="{00000000-0005-0000-0000-000072130000}"/>
    <cellStyle name="Normal 4 2 4 2 6 2" xfId="3895" xr:uid="{00000000-0005-0000-0000-000073130000}"/>
    <cellStyle name="Normal 4 2 4 2 6 2 2" xfId="8117" xr:uid="{00000000-0005-0000-0000-000074130000}"/>
    <cellStyle name="Normal 4 2 4 2 6 2 2 2" xfId="17443" xr:uid="{1531D8C8-CE99-4590-9608-3DE8123C4FBC}"/>
    <cellStyle name="Normal 4 2 4 2 6 2 3" xfId="13226" xr:uid="{65A280AC-9F0C-49EE-AE02-419B50CD8E22}"/>
    <cellStyle name="Normal 4 2 4 2 6 3" xfId="5972" xr:uid="{00000000-0005-0000-0000-000075130000}"/>
    <cellStyle name="Normal 4 2 4 2 6 3 2" xfId="15298" xr:uid="{CC275F72-8278-414C-995B-7F54D02B7C6D}"/>
    <cellStyle name="Normal 4 2 4 2 6 4" xfId="11081" xr:uid="{99D2079E-2F45-400C-8064-9D9CED1B81CD}"/>
    <cellStyle name="Normal 4 2 4 2 7" xfId="2079" xr:uid="{00000000-0005-0000-0000-000076130000}"/>
    <cellStyle name="Normal 4 2 4 2 7 2" xfId="4308" xr:uid="{00000000-0005-0000-0000-000077130000}"/>
    <cellStyle name="Normal 4 2 4 2 7 2 2" xfId="8530" xr:uid="{00000000-0005-0000-0000-000078130000}"/>
    <cellStyle name="Normal 4 2 4 2 7 2 2 2" xfId="17856" xr:uid="{723983A0-334B-4D0D-B9FD-DE5FB9647BFF}"/>
    <cellStyle name="Normal 4 2 4 2 7 2 3" xfId="13639" xr:uid="{B56FE76F-FFE1-4220-BF11-D06A34B0E216}"/>
    <cellStyle name="Normal 4 2 4 2 7 3" xfId="6385" xr:uid="{00000000-0005-0000-0000-000079130000}"/>
    <cellStyle name="Normal 4 2 4 2 7 3 2" xfId="15711" xr:uid="{542E9B9E-555B-4449-8D95-C0720D9FBD0D}"/>
    <cellStyle name="Normal 4 2 4 2 7 4" xfId="11494" xr:uid="{E85BA2DD-198E-4828-85BF-CD5FAEF93F16}"/>
    <cellStyle name="Normal 4 2 4 2 8" xfId="2515" xr:uid="{00000000-0005-0000-0000-00007A130000}"/>
    <cellStyle name="Normal 4 2 4 2 8 2" xfId="6798" xr:uid="{00000000-0005-0000-0000-00007B130000}"/>
    <cellStyle name="Normal 4 2 4 2 8 2 2" xfId="16124" xr:uid="{800FA935-A79B-4770-A880-2FB898E0F599}"/>
    <cellStyle name="Normal 4 2 4 2 8 3" xfId="11907" xr:uid="{C2700178-9254-4EEE-9961-AB17FD997E65}"/>
    <cellStyle name="Normal 4 2 4 2 9" xfId="4733" xr:uid="{00000000-0005-0000-0000-00007C130000}"/>
    <cellStyle name="Normal 4 2 4 2 9 2" xfId="14059" xr:uid="{78AFBDD8-F6D6-40B9-8E73-7712A6F6E471}"/>
    <cellStyle name="Normal 4 2 4 3" xfId="360" xr:uid="{00000000-0005-0000-0000-00007D130000}"/>
    <cellStyle name="Normal 4 2 4 3 10" xfId="9846" xr:uid="{475DC140-992A-45DC-934E-67BEC888D474}"/>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2 2 2" xfId="16622" xr:uid="{F91329A0-B258-4AEF-B380-B24AAAE137D4}"/>
    <cellStyle name="Normal 4 2 4 3 2 2 2 3" xfId="12405" xr:uid="{009187E9-A314-4ECE-A4B1-A360EEE0EF6B}"/>
    <cellStyle name="Normal 4 2 4 3 2 2 3" xfId="5151" xr:uid="{00000000-0005-0000-0000-000082130000}"/>
    <cellStyle name="Normal 4 2 4 3 2 2 3 2" xfId="14477" xr:uid="{6C51132B-6A63-4B47-8714-2779F6351372}"/>
    <cellStyle name="Normal 4 2 4 3 2 2 4" xfId="9510" xr:uid="{AA534F18-B7F5-44D9-AE7D-03E6DE45E4F9}"/>
    <cellStyle name="Normal 4 2 4 3 2 2 4 2" xfId="18825" xr:uid="{8927A1F5-A946-42D9-8205-44031D39211D}"/>
    <cellStyle name="Normal 4 2 4 3 2 2 5" xfId="10260" xr:uid="{8BCD6B40-A474-4A7C-9E79-BC6317C3C77B}"/>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2 2 2" xfId="17035" xr:uid="{141149DC-758A-4EDF-93AA-1EACBD6409A6}"/>
    <cellStyle name="Normal 4 2 4 3 2 3 2 3" xfId="12818" xr:uid="{4E2F39B0-AE2F-440F-A5A3-8680215A2270}"/>
    <cellStyle name="Normal 4 2 4 3 2 3 3" xfId="5564" xr:uid="{00000000-0005-0000-0000-000086130000}"/>
    <cellStyle name="Normal 4 2 4 3 2 3 3 2" xfId="14890" xr:uid="{DEE31148-6088-4117-809E-CFB0E6D46146}"/>
    <cellStyle name="Normal 4 2 4 3 2 3 4" xfId="10673" xr:uid="{D7BF109F-582D-4C13-973A-EE70923A7EE9}"/>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2 2 2" xfId="17448" xr:uid="{C3F70DEB-F9C3-4BC2-AD4C-A45C3C6BB55A}"/>
    <cellStyle name="Normal 4 2 4 3 2 4 2 3" xfId="13231" xr:uid="{52C4B8F1-A7DA-48A8-9EE8-218F9A5F2982}"/>
    <cellStyle name="Normal 4 2 4 3 2 4 3" xfId="5977" xr:uid="{00000000-0005-0000-0000-00008A130000}"/>
    <cellStyle name="Normal 4 2 4 3 2 4 3 2" xfId="15303" xr:uid="{CEBB4303-8733-4AB4-BDC1-F324C6377344}"/>
    <cellStyle name="Normal 4 2 4 3 2 4 4" xfId="11086" xr:uid="{4CE697A0-1DA8-41DF-A7AA-9ECB135B9551}"/>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2 2 2" xfId="17861" xr:uid="{9D461C46-DC50-4A60-B36F-60986BD4F73A}"/>
    <cellStyle name="Normal 4 2 4 3 2 5 2 3" xfId="13644" xr:uid="{1DAAD080-115C-4003-9D3B-2AE277D1F308}"/>
    <cellStyle name="Normal 4 2 4 3 2 5 3" xfId="6390" xr:uid="{00000000-0005-0000-0000-00008E130000}"/>
    <cellStyle name="Normal 4 2 4 3 2 5 3 2" xfId="15716" xr:uid="{DCA5890D-6F27-4DB4-95FC-EEC81B07EB7A}"/>
    <cellStyle name="Normal 4 2 4 3 2 5 4" xfId="11499" xr:uid="{1EFB8539-DFF7-4F9F-B3D6-9312D2E0647B}"/>
    <cellStyle name="Normal 4 2 4 3 2 6" xfId="2520" xr:uid="{00000000-0005-0000-0000-00008F130000}"/>
    <cellStyle name="Normal 4 2 4 3 2 6 2" xfId="6803" xr:uid="{00000000-0005-0000-0000-000090130000}"/>
    <cellStyle name="Normal 4 2 4 3 2 6 2 2" xfId="16129" xr:uid="{82DD480E-AAA9-4AF6-B46D-F931948178E5}"/>
    <cellStyle name="Normal 4 2 4 3 2 6 3" xfId="11912" xr:uid="{6B83C814-5FE0-42C6-8FD4-70773F4A8DE5}"/>
    <cellStyle name="Normal 4 2 4 3 2 7" xfId="4738" xr:uid="{00000000-0005-0000-0000-000091130000}"/>
    <cellStyle name="Normal 4 2 4 3 2 7 2" xfId="14064" xr:uid="{EEF5E070-D548-4010-A8D8-DAB8240DE3EE}"/>
    <cellStyle name="Normal 4 2 4 3 2 8" xfId="9085" xr:uid="{0181E53C-86DC-4588-8447-D559FCF01541}"/>
    <cellStyle name="Normal 4 2 4 3 2 8 2" xfId="18409" xr:uid="{D0448556-A118-4ED2-8894-0C4B1B7D4C5B}"/>
    <cellStyle name="Normal 4 2 4 3 2 9" xfId="9847" xr:uid="{596DB914-D696-4303-BDA6-B5864D6BF46F}"/>
    <cellStyle name="Normal 4 2 4 3 3" xfId="836" xr:uid="{00000000-0005-0000-0000-000092130000}"/>
    <cellStyle name="Normal 4 2 4 3 3 2" xfId="3073" xr:uid="{00000000-0005-0000-0000-000093130000}"/>
    <cellStyle name="Normal 4 2 4 3 3 2 2" xfId="7295" xr:uid="{00000000-0005-0000-0000-000094130000}"/>
    <cellStyle name="Normal 4 2 4 3 3 2 2 2" xfId="16621" xr:uid="{9A97AAD5-8F97-4516-A9FF-A174E1FD7A12}"/>
    <cellStyle name="Normal 4 2 4 3 3 2 3" xfId="12404" xr:uid="{530ED607-A79F-4FAA-97FD-944AF2929BF7}"/>
    <cellStyle name="Normal 4 2 4 3 3 3" xfId="5150" xr:uid="{00000000-0005-0000-0000-000095130000}"/>
    <cellStyle name="Normal 4 2 4 3 3 3 2" xfId="14476" xr:uid="{515D7101-3D54-4E12-AB61-168BD9DBEC81}"/>
    <cellStyle name="Normal 4 2 4 3 3 4" xfId="9303" xr:uid="{51CE977A-E9B9-47DD-B6CE-3ECF34A578F1}"/>
    <cellStyle name="Normal 4 2 4 3 3 4 2" xfId="18618" xr:uid="{783D9214-D61D-469F-8FA1-5A36B3702087}"/>
    <cellStyle name="Normal 4 2 4 3 3 5" xfId="10259" xr:uid="{81801D9A-BC4E-4539-9437-3A58B08983C0}"/>
    <cellStyle name="Normal 4 2 4 3 4" xfId="1256" xr:uid="{00000000-0005-0000-0000-000096130000}"/>
    <cellStyle name="Normal 4 2 4 3 4 2" xfId="3486" xr:uid="{00000000-0005-0000-0000-000097130000}"/>
    <cellStyle name="Normal 4 2 4 3 4 2 2" xfId="7708" xr:uid="{00000000-0005-0000-0000-000098130000}"/>
    <cellStyle name="Normal 4 2 4 3 4 2 2 2" xfId="17034" xr:uid="{646E043E-DF44-4A9F-ADD5-87B13B7053C6}"/>
    <cellStyle name="Normal 4 2 4 3 4 2 3" xfId="12817" xr:uid="{949EBE8A-43C9-472F-BAEC-4019D8AD49B7}"/>
    <cellStyle name="Normal 4 2 4 3 4 3" xfId="5563" xr:uid="{00000000-0005-0000-0000-000099130000}"/>
    <cellStyle name="Normal 4 2 4 3 4 3 2" xfId="14889" xr:uid="{701AFCD7-2539-49C9-B9D5-10DE1DB8CFEA}"/>
    <cellStyle name="Normal 4 2 4 3 4 4" xfId="10672" xr:uid="{D1BDDB29-BF55-4C3D-9196-F39B11F0E47D}"/>
    <cellStyle name="Normal 4 2 4 3 5" xfId="1669" xr:uid="{00000000-0005-0000-0000-00009A130000}"/>
    <cellStyle name="Normal 4 2 4 3 5 2" xfId="3899" xr:uid="{00000000-0005-0000-0000-00009B130000}"/>
    <cellStyle name="Normal 4 2 4 3 5 2 2" xfId="8121" xr:uid="{00000000-0005-0000-0000-00009C130000}"/>
    <cellStyle name="Normal 4 2 4 3 5 2 2 2" xfId="17447" xr:uid="{0EEBC517-BE98-41C6-AC72-20D4F1D78498}"/>
    <cellStyle name="Normal 4 2 4 3 5 2 3" xfId="13230" xr:uid="{D4826D4C-BDB5-48FC-AC4F-CB3CB9D07283}"/>
    <cellStyle name="Normal 4 2 4 3 5 3" xfId="5976" xr:uid="{00000000-0005-0000-0000-00009D130000}"/>
    <cellStyle name="Normal 4 2 4 3 5 3 2" xfId="15302" xr:uid="{42184060-0378-4C26-B591-928BE50BBCF8}"/>
    <cellStyle name="Normal 4 2 4 3 5 4" xfId="11085" xr:uid="{839AD2C0-B66A-4A41-B46A-AB9A2BB588A9}"/>
    <cellStyle name="Normal 4 2 4 3 6" xfId="2083" xr:uid="{00000000-0005-0000-0000-00009E130000}"/>
    <cellStyle name="Normal 4 2 4 3 6 2" xfId="4312" xr:uid="{00000000-0005-0000-0000-00009F130000}"/>
    <cellStyle name="Normal 4 2 4 3 6 2 2" xfId="8534" xr:uid="{00000000-0005-0000-0000-0000A0130000}"/>
    <cellStyle name="Normal 4 2 4 3 6 2 2 2" xfId="17860" xr:uid="{D32EC658-AA0E-44CC-9472-E387FB7A3802}"/>
    <cellStyle name="Normal 4 2 4 3 6 2 3" xfId="13643" xr:uid="{F178AAB3-6A0C-4AB4-B5C8-6688EB60087D}"/>
    <cellStyle name="Normal 4 2 4 3 6 3" xfId="6389" xr:uid="{00000000-0005-0000-0000-0000A1130000}"/>
    <cellStyle name="Normal 4 2 4 3 6 3 2" xfId="15715" xr:uid="{36F19528-6B11-47F6-9CF1-CD9115F25B7D}"/>
    <cellStyle name="Normal 4 2 4 3 6 4" xfId="11498" xr:uid="{1C923147-D7AE-4ED2-BF14-73FB6C4783A7}"/>
    <cellStyle name="Normal 4 2 4 3 7" xfId="2519" xr:uid="{00000000-0005-0000-0000-0000A2130000}"/>
    <cellStyle name="Normal 4 2 4 3 7 2" xfId="6802" xr:uid="{00000000-0005-0000-0000-0000A3130000}"/>
    <cellStyle name="Normal 4 2 4 3 7 2 2" xfId="16128" xr:uid="{5DC29261-B315-459E-907E-AA1BA9039FB4}"/>
    <cellStyle name="Normal 4 2 4 3 7 3" xfId="11911" xr:uid="{3AD1F74D-2EFE-4C5F-8FC3-6826F21DAC9C}"/>
    <cellStyle name="Normal 4 2 4 3 8" xfId="4737" xr:uid="{00000000-0005-0000-0000-0000A4130000}"/>
    <cellStyle name="Normal 4 2 4 3 8 2" xfId="14063" xr:uid="{08354C01-0D06-4D62-AFB5-86A053BCDE4F}"/>
    <cellStyle name="Normal 4 2 4 3 9" xfId="8878" xr:uid="{B73EE68A-BBFC-4E7A-B773-E14FCCFC8837}"/>
    <cellStyle name="Normal 4 2 4 3 9 2" xfId="18202" xr:uid="{C8F1E2AD-AE62-4E3D-851E-BDC1311E4F8D}"/>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2 2 2" xfId="16623" xr:uid="{9DFFC9DE-4C64-4619-B05F-DFD3C5D96A68}"/>
    <cellStyle name="Normal 4 2 4 4 2 2 3" xfId="12406" xr:uid="{529777CF-7D6C-4F69-BC94-D562306C131C}"/>
    <cellStyle name="Normal 4 2 4 4 2 3" xfId="5152" xr:uid="{00000000-0005-0000-0000-0000A9130000}"/>
    <cellStyle name="Normal 4 2 4 4 2 3 2" xfId="14478" xr:uid="{DCD5C830-69B1-41B0-9CAC-CC0E04E9C79C}"/>
    <cellStyle name="Normal 4 2 4 4 2 4" xfId="9407" xr:uid="{5D8D6A7A-388E-41EC-80E9-28307FA015D6}"/>
    <cellStyle name="Normal 4 2 4 4 2 4 2" xfId="18722" xr:uid="{21FBAA1A-5EA9-45FE-AD09-8CCF6813D1F8}"/>
    <cellStyle name="Normal 4 2 4 4 2 5" xfId="10261" xr:uid="{3C8B9256-FEEF-48E7-95C3-33A966085CC7}"/>
    <cellStyle name="Normal 4 2 4 4 3" xfId="1258" xr:uid="{00000000-0005-0000-0000-0000AA130000}"/>
    <cellStyle name="Normal 4 2 4 4 3 2" xfId="3488" xr:uid="{00000000-0005-0000-0000-0000AB130000}"/>
    <cellStyle name="Normal 4 2 4 4 3 2 2" xfId="7710" xr:uid="{00000000-0005-0000-0000-0000AC130000}"/>
    <cellStyle name="Normal 4 2 4 4 3 2 2 2" xfId="17036" xr:uid="{A9CF4211-12A5-466D-99A1-FA22F642F055}"/>
    <cellStyle name="Normal 4 2 4 4 3 2 3" xfId="12819" xr:uid="{47D1C3E3-A7EB-4861-BA9D-D8549FE0C085}"/>
    <cellStyle name="Normal 4 2 4 4 3 3" xfId="5565" xr:uid="{00000000-0005-0000-0000-0000AD130000}"/>
    <cellStyle name="Normal 4 2 4 4 3 3 2" xfId="14891" xr:uid="{3E1977AD-CEE5-4CF9-8FD6-E0BFB4D71770}"/>
    <cellStyle name="Normal 4 2 4 4 3 4" xfId="10674" xr:uid="{79BEDAE4-F881-4A7B-9790-E4919AD422FC}"/>
    <cellStyle name="Normal 4 2 4 4 4" xfId="1671" xr:uid="{00000000-0005-0000-0000-0000AE130000}"/>
    <cellStyle name="Normal 4 2 4 4 4 2" xfId="3901" xr:uid="{00000000-0005-0000-0000-0000AF130000}"/>
    <cellStyle name="Normal 4 2 4 4 4 2 2" xfId="8123" xr:uid="{00000000-0005-0000-0000-0000B0130000}"/>
    <cellStyle name="Normal 4 2 4 4 4 2 2 2" xfId="17449" xr:uid="{292B169A-AC3E-46A5-B7E6-A778FF8B3A1A}"/>
    <cellStyle name="Normal 4 2 4 4 4 2 3" xfId="13232" xr:uid="{624E93C1-6426-453C-87F2-21262E2432B3}"/>
    <cellStyle name="Normal 4 2 4 4 4 3" xfId="5978" xr:uid="{00000000-0005-0000-0000-0000B1130000}"/>
    <cellStyle name="Normal 4 2 4 4 4 3 2" xfId="15304" xr:uid="{766A4209-480B-4D60-B912-532D51EC38B5}"/>
    <cellStyle name="Normal 4 2 4 4 4 4" xfId="11087" xr:uid="{3F358A6D-D225-4B8E-B053-FDCE757DBB85}"/>
    <cellStyle name="Normal 4 2 4 4 5" xfId="2085" xr:uid="{00000000-0005-0000-0000-0000B2130000}"/>
    <cellStyle name="Normal 4 2 4 4 5 2" xfId="4314" xr:uid="{00000000-0005-0000-0000-0000B3130000}"/>
    <cellStyle name="Normal 4 2 4 4 5 2 2" xfId="8536" xr:uid="{00000000-0005-0000-0000-0000B4130000}"/>
    <cellStyle name="Normal 4 2 4 4 5 2 2 2" xfId="17862" xr:uid="{38677A1B-91BB-4407-88D1-9CCA5C71194A}"/>
    <cellStyle name="Normal 4 2 4 4 5 2 3" xfId="13645" xr:uid="{49CE7FF1-EF1B-434F-8F9F-F57BE12AD7D2}"/>
    <cellStyle name="Normal 4 2 4 4 5 3" xfId="6391" xr:uid="{00000000-0005-0000-0000-0000B5130000}"/>
    <cellStyle name="Normal 4 2 4 4 5 3 2" xfId="15717" xr:uid="{CC14AB00-FED8-49A0-A036-69DBC866D5F4}"/>
    <cellStyle name="Normal 4 2 4 4 5 4" xfId="11500" xr:uid="{A85C7AA2-4987-4C47-8430-D58C37CFDB74}"/>
    <cellStyle name="Normal 4 2 4 4 6" xfId="2521" xr:uid="{00000000-0005-0000-0000-0000B6130000}"/>
    <cellStyle name="Normal 4 2 4 4 6 2" xfId="6804" xr:uid="{00000000-0005-0000-0000-0000B7130000}"/>
    <cellStyle name="Normal 4 2 4 4 6 2 2" xfId="16130" xr:uid="{85A60267-5C3A-445C-ADB0-8A83A650527C}"/>
    <cellStyle name="Normal 4 2 4 4 6 3" xfId="11913" xr:uid="{5A01480A-6E51-458B-81A1-5F7CE41016CB}"/>
    <cellStyle name="Normal 4 2 4 4 7" xfId="4739" xr:uid="{00000000-0005-0000-0000-0000B8130000}"/>
    <cellStyle name="Normal 4 2 4 4 7 2" xfId="14065" xr:uid="{4A61A812-3B8A-4524-9168-BF5E2CF95D2A}"/>
    <cellStyle name="Normal 4 2 4 4 8" xfId="8982" xr:uid="{4C273C9B-E12E-4EF2-812F-666600229207}"/>
    <cellStyle name="Normal 4 2 4 4 8 2" xfId="18306" xr:uid="{DA5D85C0-4271-4E06-9FA1-9EE21E9F9802}"/>
    <cellStyle name="Normal 4 2 4 4 9" xfId="9848" xr:uid="{889F3B2A-896B-4824-A27B-AA54BEDB528B}"/>
    <cellStyle name="Normal 4 2 4 5" xfId="831" xr:uid="{00000000-0005-0000-0000-0000B9130000}"/>
    <cellStyle name="Normal 4 2 4 5 2" xfId="3068" xr:uid="{00000000-0005-0000-0000-0000BA130000}"/>
    <cellStyle name="Normal 4 2 4 5 2 2" xfId="7290" xr:uid="{00000000-0005-0000-0000-0000BB130000}"/>
    <cellStyle name="Normal 4 2 4 5 2 2 2" xfId="16616" xr:uid="{69D9C412-45C1-4860-903B-B4BF19F91642}"/>
    <cellStyle name="Normal 4 2 4 5 2 3" xfId="12399" xr:uid="{F1BA46BD-87A4-404C-88D3-16BE334EE3F8}"/>
    <cellStyle name="Normal 4 2 4 5 3" xfId="5145" xr:uid="{00000000-0005-0000-0000-0000BC130000}"/>
    <cellStyle name="Normal 4 2 4 5 3 2" xfId="14471" xr:uid="{EB86C0F9-B8DD-4743-8175-C2787521EB00}"/>
    <cellStyle name="Normal 4 2 4 5 4" xfId="9199" xr:uid="{1A9A2DC3-2FEA-4A30-A92C-84708E9B2741}"/>
    <cellStyle name="Normal 4 2 4 5 4 2" xfId="18515" xr:uid="{B5180D8A-B0F7-4BB8-B8AF-E3F444CD6807}"/>
    <cellStyle name="Normal 4 2 4 5 5" xfId="10254" xr:uid="{92829CCA-9A7E-443F-9146-80CF3B99E8AA}"/>
    <cellStyle name="Normal 4 2 4 6" xfId="1251" xr:uid="{00000000-0005-0000-0000-0000BD130000}"/>
    <cellStyle name="Normal 4 2 4 6 2" xfId="3481" xr:uid="{00000000-0005-0000-0000-0000BE130000}"/>
    <cellStyle name="Normal 4 2 4 6 2 2" xfId="7703" xr:uid="{00000000-0005-0000-0000-0000BF130000}"/>
    <cellStyle name="Normal 4 2 4 6 2 2 2" xfId="17029" xr:uid="{DFE9D02B-8142-47F0-96B2-C1139B95E1CE}"/>
    <cellStyle name="Normal 4 2 4 6 2 3" xfId="12812" xr:uid="{030C2B74-0F62-4A8C-9524-DA0DDDA09521}"/>
    <cellStyle name="Normal 4 2 4 6 3" xfId="5558" xr:uid="{00000000-0005-0000-0000-0000C0130000}"/>
    <cellStyle name="Normal 4 2 4 6 3 2" xfId="14884" xr:uid="{171F4E59-C479-4A87-A12A-4E35ED86135A}"/>
    <cellStyle name="Normal 4 2 4 6 4" xfId="10667" xr:uid="{3B0778DA-7FFE-4DA1-8895-936259AF5A8F}"/>
    <cellStyle name="Normal 4 2 4 7" xfId="1664" xr:uid="{00000000-0005-0000-0000-0000C1130000}"/>
    <cellStyle name="Normal 4 2 4 7 2" xfId="3894" xr:uid="{00000000-0005-0000-0000-0000C2130000}"/>
    <cellStyle name="Normal 4 2 4 7 2 2" xfId="8116" xr:uid="{00000000-0005-0000-0000-0000C3130000}"/>
    <cellStyle name="Normal 4 2 4 7 2 2 2" xfId="17442" xr:uid="{9E2E052A-19CF-4BEA-AB0B-96A43C0A9EC8}"/>
    <cellStyle name="Normal 4 2 4 7 2 3" xfId="13225" xr:uid="{9D0ECF3E-FE59-4FD5-BB1B-8C09474CD123}"/>
    <cellStyle name="Normal 4 2 4 7 3" xfId="5971" xr:uid="{00000000-0005-0000-0000-0000C4130000}"/>
    <cellStyle name="Normal 4 2 4 7 3 2" xfId="15297" xr:uid="{4367BFB0-DCE3-4E95-8684-ECAE6D4D9C90}"/>
    <cellStyle name="Normal 4 2 4 7 4" xfId="11080" xr:uid="{EDBC64DE-787B-4CBE-8BBA-B1D38303A14C}"/>
    <cellStyle name="Normal 4 2 4 8" xfId="2078" xr:uid="{00000000-0005-0000-0000-0000C5130000}"/>
    <cellStyle name="Normal 4 2 4 8 2" xfId="4307" xr:uid="{00000000-0005-0000-0000-0000C6130000}"/>
    <cellStyle name="Normal 4 2 4 8 2 2" xfId="8529" xr:uid="{00000000-0005-0000-0000-0000C7130000}"/>
    <cellStyle name="Normal 4 2 4 8 2 2 2" xfId="17855" xr:uid="{70809D88-783E-4C8D-A6A5-F10C9142699D}"/>
    <cellStyle name="Normal 4 2 4 8 2 3" xfId="13638" xr:uid="{AE6A5EA9-208E-407B-89F0-670D5A9C736B}"/>
    <cellStyle name="Normal 4 2 4 8 3" xfId="6384" xr:uid="{00000000-0005-0000-0000-0000C8130000}"/>
    <cellStyle name="Normal 4 2 4 8 3 2" xfId="15710" xr:uid="{7AD8D2E9-BAA3-428E-9DCA-75D96F19BB14}"/>
    <cellStyle name="Normal 4 2 4 8 4" xfId="11493" xr:uid="{573A8655-7301-4EBB-A427-B3CD88076374}"/>
    <cellStyle name="Normal 4 2 4 9" xfId="2514" xr:uid="{00000000-0005-0000-0000-0000C9130000}"/>
    <cellStyle name="Normal 4 2 4 9 2" xfId="6797" xr:uid="{00000000-0005-0000-0000-0000CA130000}"/>
    <cellStyle name="Normal 4 2 4 9 2 2" xfId="16123" xr:uid="{93EDF462-C51E-419D-A501-899CB08606FE}"/>
    <cellStyle name="Normal 4 2 4 9 3" xfId="11906" xr:uid="{E4336209-1BA5-4B84-BFBD-9CE48D917584}"/>
    <cellStyle name="Normal 4 2 5" xfId="363" xr:uid="{00000000-0005-0000-0000-0000CB130000}"/>
    <cellStyle name="Normal 4 2 5 10" xfId="9849" xr:uid="{07B4CDC7-F816-489F-9C94-A913FB564971}"/>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2 2 2" xfId="16625" xr:uid="{98DDB5A3-A853-4EE9-A9F6-314BF4C95697}"/>
    <cellStyle name="Normal 4 2 5 2 2 2 3" xfId="12408" xr:uid="{899EFAE5-D8C1-4A03-9AA7-2B795707CEAB}"/>
    <cellStyle name="Normal 4 2 5 2 2 3" xfId="5154" xr:uid="{00000000-0005-0000-0000-0000D0130000}"/>
    <cellStyle name="Normal 4 2 5 2 2 3 2" xfId="14480" xr:uid="{C3C85523-D17F-4CC7-8987-4F79F0328A62}"/>
    <cellStyle name="Normal 4 2 5 2 2 4" xfId="9478" xr:uid="{9FEAEEC2-067D-4244-BB0F-0858128140EB}"/>
    <cellStyle name="Normal 4 2 5 2 2 4 2" xfId="18793" xr:uid="{8871E29D-9B2A-445F-8F32-2373A182682B}"/>
    <cellStyle name="Normal 4 2 5 2 2 5" xfId="10263" xr:uid="{44CEFF87-A282-4BF8-A49C-807726A87348}"/>
    <cellStyle name="Normal 4 2 5 2 3" xfId="1260" xr:uid="{00000000-0005-0000-0000-0000D1130000}"/>
    <cellStyle name="Normal 4 2 5 2 3 2" xfId="3490" xr:uid="{00000000-0005-0000-0000-0000D2130000}"/>
    <cellStyle name="Normal 4 2 5 2 3 2 2" xfId="7712" xr:uid="{00000000-0005-0000-0000-0000D3130000}"/>
    <cellStyle name="Normal 4 2 5 2 3 2 2 2" xfId="17038" xr:uid="{232CE5D5-97A9-4F7A-A8EE-0DB00182D22B}"/>
    <cellStyle name="Normal 4 2 5 2 3 2 3" xfId="12821" xr:uid="{36A9D73D-6422-4D64-BF0D-04DAFA613D76}"/>
    <cellStyle name="Normal 4 2 5 2 3 3" xfId="5567" xr:uid="{00000000-0005-0000-0000-0000D4130000}"/>
    <cellStyle name="Normal 4 2 5 2 3 3 2" xfId="14893" xr:uid="{B4E376F7-78EA-4399-9774-030D95DEEAF3}"/>
    <cellStyle name="Normal 4 2 5 2 3 4" xfId="10676" xr:uid="{882C7C58-0A7A-4F8A-B93F-1125046493C1}"/>
    <cellStyle name="Normal 4 2 5 2 4" xfId="1673" xr:uid="{00000000-0005-0000-0000-0000D5130000}"/>
    <cellStyle name="Normal 4 2 5 2 4 2" xfId="3903" xr:uid="{00000000-0005-0000-0000-0000D6130000}"/>
    <cellStyle name="Normal 4 2 5 2 4 2 2" xfId="8125" xr:uid="{00000000-0005-0000-0000-0000D7130000}"/>
    <cellStyle name="Normal 4 2 5 2 4 2 2 2" xfId="17451" xr:uid="{87A36B16-4DC4-4B65-91BD-D617CA2D2C83}"/>
    <cellStyle name="Normal 4 2 5 2 4 2 3" xfId="13234" xr:uid="{428EB2AD-F494-4AA7-A9C0-6E8F59F7DED3}"/>
    <cellStyle name="Normal 4 2 5 2 4 3" xfId="5980" xr:uid="{00000000-0005-0000-0000-0000D8130000}"/>
    <cellStyle name="Normal 4 2 5 2 4 3 2" xfId="15306" xr:uid="{280F8846-9AD9-4386-AC9F-912680459584}"/>
    <cellStyle name="Normal 4 2 5 2 4 4" xfId="11089" xr:uid="{F8888754-367D-43ED-BC9C-9EBB146BBCE4}"/>
    <cellStyle name="Normal 4 2 5 2 5" xfId="2087" xr:uid="{00000000-0005-0000-0000-0000D9130000}"/>
    <cellStyle name="Normal 4 2 5 2 5 2" xfId="4316" xr:uid="{00000000-0005-0000-0000-0000DA130000}"/>
    <cellStyle name="Normal 4 2 5 2 5 2 2" xfId="8538" xr:uid="{00000000-0005-0000-0000-0000DB130000}"/>
    <cellStyle name="Normal 4 2 5 2 5 2 2 2" xfId="17864" xr:uid="{558AAECE-2EF3-48C6-A5EC-4DF0988BDA1F}"/>
    <cellStyle name="Normal 4 2 5 2 5 2 3" xfId="13647" xr:uid="{F719AF21-49EC-4544-BED4-E75EE061C8CF}"/>
    <cellStyle name="Normal 4 2 5 2 5 3" xfId="6393" xr:uid="{00000000-0005-0000-0000-0000DC130000}"/>
    <cellStyle name="Normal 4 2 5 2 5 3 2" xfId="15719" xr:uid="{685B8163-CF14-434E-B78C-43DC44E8AE06}"/>
    <cellStyle name="Normal 4 2 5 2 5 4" xfId="11502" xr:uid="{D3C51C85-A16F-4F14-895C-39B7045744C3}"/>
    <cellStyle name="Normal 4 2 5 2 6" xfId="2523" xr:uid="{00000000-0005-0000-0000-0000DD130000}"/>
    <cellStyle name="Normal 4 2 5 2 6 2" xfId="6806" xr:uid="{00000000-0005-0000-0000-0000DE130000}"/>
    <cellStyle name="Normal 4 2 5 2 6 2 2" xfId="16132" xr:uid="{A57DD92D-91FB-4161-A538-180F6263C81D}"/>
    <cellStyle name="Normal 4 2 5 2 6 3" xfId="11915" xr:uid="{14AF7295-F561-44B5-8D7B-53D9956EBCA2}"/>
    <cellStyle name="Normal 4 2 5 2 7" xfId="4741" xr:uid="{00000000-0005-0000-0000-0000DF130000}"/>
    <cellStyle name="Normal 4 2 5 2 7 2" xfId="14067" xr:uid="{A15BC47B-BF39-443C-B22E-54080ABCAE65}"/>
    <cellStyle name="Normal 4 2 5 2 8" xfId="9053" xr:uid="{0AE18A98-D9E6-47B9-86B0-DDAD3BC77B48}"/>
    <cellStyle name="Normal 4 2 5 2 8 2" xfId="18377" xr:uid="{19613B0E-1534-45A7-92C2-CF8372F2336B}"/>
    <cellStyle name="Normal 4 2 5 2 9" xfId="9850" xr:uid="{8DE06312-2956-4722-B7A7-602F924D5E41}"/>
    <cellStyle name="Normal 4 2 5 3" xfId="839" xr:uid="{00000000-0005-0000-0000-0000E0130000}"/>
    <cellStyle name="Normal 4 2 5 3 2" xfId="3076" xr:uid="{00000000-0005-0000-0000-0000E1130000}"/>
    <cellStyle name="Normal 4 2 5 3 2 2" xfId="7298" xr:uid="{00000000-0005-0000-0000-0000E2130000}"/>
    <cellStyle name="Normal 4 2 5 3 2 2 2" xfId="16624" xr:uid="{F37F2F3F-F43C-480E-B052-0F05AF99B398}"/>
    <cellStyle name="Normal 4 2 5 3 2 3" xfId="12407" xr:uid="{EA663C30-1DDF-4BDF-921C-9C4D83393D4A}"/>
    <cellStyle name="Normal 4 2 5 3 3" xfId="5153" xr:uid="{00000000-0005-0000-0000-0000E3130000}"/>
    <cellStyle name="Normal 4 2 5 3 3 2" xfId="14479" xr:uid="{5F2E88D0-0714-4B26-93B0-F9070622B72D}"/>
    <cellStyle name="Normal 4 2 5 3 4" xfId="9271" xr:uid="{41AE7BB1-E3C7-48BD-B24F-55AE39E68BB6}"/>
    <cellStyle name="Normal 4 2 5 3 4 2" xfId="18586" xr:uid="{BE0BEE90-7C94-4B81-B466-D3625FB6193A}"/>
    <cellStyle name="Normal 4 2 5 3 5" xfId="10262" xr:uid="{65C50B83-7DB0-47BD-BE9A-359BB5E828BB}"/>
    <cellStyle name="Normal 4 2 5 4" xfId="1259" xr:uid="{00000000-0005-0000-0000-0000E4130000}"/>
    <cellStyle name="Normal 4 2 5 4 2" xfId="3489" xr:uid="{00000000-0005-0000-0000-0000E5130000}"/>
    <cellStyle name="Normal 4 2 5 4 2 2" xfId="7711" xr:uid="{00000000-0005-0000-0000-0000E6130000}"/>
    <cellStyle name="Normal 4 2 5 4 2 2 2" xfId="17037" xr:uid="{242A7E53-2C56-4FB8-B3A2-072A0FD6FD3B}"/>
    <cellStyle name="Normal 4 2 5 4 2 3" xfId="12820" xr:uid="{8501DC64-5CB5-4F82-86C7-E71A8DA9B07F}"/>
    <cellStyle name="Normal 4 2 5 4 3" xfId="5566" xr:uid="{00000000-0005-0000-0000-0000E7130000}"/>
    <cellStyle name="Normal 4 2 5 4 3 2" xfId="14892" xr:uid="{2C0C4BB0-820B-4051-A811-A349A8393783}"/>
    <cellStyle name="Normal 4 2 5 4 4" xfId="10675" xr:uid="{EB1CB78E-BF18-4D85-A4FB-C80783A51B99}"/>
    <cellStyle name="Normal 4 2 5 5" xfId="1672" xr:uid="{00000000-0005-0000-0000-0000E8130000}"/>
    <cellStyle name="Normal 4 2 5 5 2" xfId="3902" xr:uid="{00000000-0005-0000-0000-0000E9130000}"/>
    <cellStyle name="Normal 4 2 5 5 2 2" xfId="8124" xr:uid="{00000000-0005-0000-0000-0000EA130000}"/>
    <cellStyle name="Normal 4 2 5 5 2 2 2" xfId="17450" xr:uid="{F1F75D1D-77EA-4578-8FFF-927D233EAC80}"/>
    <cellStyle name="Normal 4 2 5 5 2 3" xfId="13233" xr:uid="{A1F119AF-31B0-4751-BF60-A2A170B584F1}"/>
    <cellStyle name="Normal 4 2 5 5 3" xfId="5979" xr:uid="{00000000-0005-0000-0000-0000EB130000}"/>
    <cellStyle name="Normal 4 2 5 5 3 2" xfId="15305" xr:uid="{6286B801-C2C5-4D5D-8D97-8A1A9FED22B7}"/>
    <cellStyle name="Normal 4 2 5 5 4" xfId="11088" xr:uid="{71CCB9E9-7186-42DB-BEA4-133A54B78576}"/>
    <cellStyle name="Normal 4 2 5 6" xfId="2086" xr:uid="{00000000-0005-0000-0000-0000EC130000}"/>
    <cellStyle name="Normal 4 2 5 6 2" xfId="4315" xr:uid="{00000000-0005-0000-0000-0000ED130000}"/>
    <cellStyle name="Normal 4 2 5 6 2 2" xfId="8537" xr:uid="{00000000-0005-0000-0000-0000EE130000}"/>
    <cellStyle name="Normal 4 2 5 6 2 2 2" xfId="17863" xr:uid="{BA1C865F-8F7D-4150-84CA-002CF0B40F3E}"/>
    <cellStyle name="Normal 4 2 5 6 2 3" xfId="13646" xr:uid="{41712470-7180-4122-A5B5-BABD836656EB}"/>
    <cellStyle name="Normal 4 2 5 6 3" xfId="6392" xr:uid="{00000000-0005-0000-0000-0000EF130000}"/>
    <cellStyle name="Normal 4 2 5 6 3 2" xfId="15718" xr:uid="{A21F6E7F-2D08-4AB2-B9D5-C938C1D6DBCB}"/>
    <cellStyle name="Normal 4 2 5 6 4" xfId="11501" xr:uid="{BE24D103-668A-4685-9BA2-7674D8B420C4}"/>
    <cellStyle name="Normal 4 2 5 7" xfId="2522" xr:uid="{00000000-0005-0000-0000-0000F0130000}"/>
    <cellStyle name="Normal 4 2 5 7 2" xfId="6805" xr:uid="{00000000-0005-0000-0000-0000F1130000}"/>
    <cellStyle name="Normal 4 2 5 7 2 2" xfId="16131" xr:uid="{879C4C18-14DA-4D03-BCA0-DE2CAF46825F}"/>
    <cellStyle name="Normal 4 2 5 7 3" xfId="11914" xr:uid="{FCD85E83-EA42-480A-9F81-5D09C592F05C}"/>
    <cellStyle name="Normal 4 2 5 8" xfId="4740" xr:uid="{00000000-0005-0000-0000-0000F2130000}"/>
    <cellStyle name="Normal 4 2 5 8 2" xfId="14066" xr:uid="{DAB3939F-0629-4660-AEEF-5FC52AA4F9FA}"/>
    <cellStyle name="Normal 4 2 5 9" xfId="8846" xr:uid="{C69C7E2D-02E8-4C87-9C63-A39D0E37A062}"/>
    <cellStyle name="Normal 4 2 5 9 2" xfId="18170" xr:uid="{7D4FE903-2CDC-46DC-8A78-C2010466348C}"/>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2 2 2" xfId="16626" xr:uid="{F348593D-3227-4B7A-A090-09E0B55C3FD0}"/>
    <cellStyle name="Normal 4 2 6 2 2 3" xfId="12409" xr:uid="{A7B493AA-0EFD-486F-9EB4-AA230B8BFDF2}"/>
    <cellStyle name="Normal 4 2 6 2 3" xfId="5155" xr:uid="{00000000-0005-0000-0000-0000F7130000}"/>
    <cellStyle name="Normal 4 2 6 2 3 2" xfId="14481" xr:uid="{8EEBAC32-E900-49BB-BC13-B9322DDE1690}"/>
    <cellStyle name="Normal 4 2 6 2 4" xfId="9387" xr:uid="{933EA8C7-37F7-4AF2-922A-47A5CB1A47BC}"/>
    <cellStyle name="Normal 4 2 6 2 4 2" xfId="18702" xr:uid="{420D5D53-DF1D-4B40-A839-A60DDC7E77B6}"/>
    <cellStyle name="Normal 4 2 6 2 5" xfId="10264" xr:uid="{34B1A10C-D3D3-4DFC-84DB-DD835AD4B2AA}"/>
    <cellStyle name="Normal 4 2 6 3" xfId="1261" xr:uid="{00000000-0005-0000-0000-0000F8130000}"/>
    <cellStyle name="Normal 4 2 6 3 2" xfId="3491" xr:uid="{00000000-0005-0000-0000-0000F9130000}"/>
    <cellStyle name="Normal 4 2 6 3 2 2" xfId="7713" xr:uid="{00000000-0005-0000-0000-0000FA130000}"/>
    <cellStyle name="Normal 4 2 6 3 2 2 2" xfId="17039" xr:uid="{CFFE9536-ACE0-41E7-BA59-1BF115446969}"/>
    <cellStyle name="Normal 4 2 6 3 2 3" xfId="12822" xr:uid="{24019256-7488-49AF-8846-CF747E0BB6EA}"/>
    <cellStyle name="Normal 4 2 6 3 3" xfId="5568" xr:uid="{00000000-0005-0000-0000-0000FB130000}"/>
    <cellStyle name="Normal 4 2 6 3 3 2" xfId="14894" xr:uid="{22156B34-FC8E-41B2-B357-FE09BA243A3B}"/>
    <cellStyle name="Normal 4 2 6 3 4" xfId="10677" xr:uid="{D6130F86-2922-44D1-811B-BAD9B9BD94C1}"/>
    <cellStyle name="Normal 4 2 6 4" xfId="1674" xr:uid="{00000000-0005-0000-0000-0000FC130000}"/>
    <cellStyle name="Normal 4 2 6 4 2" xfId="3904" xr:uid="{00000000-0005-0000-0000-0000FD130000}"/>
    <cellStyle name="Normal 4 2 6 4 2 2" xfId="8126" xr:uid="{00000000-0005-0000-0000-0000FE130000}"/>
    <cellStyle name="Normal 4 2 6 4 2 2 2" xfId="17452" xr:uid="{904C05B3-BA44-4E5D-9DF2-C8AB76FE0D3A}"/>
    <cellStyle name="Normal 4 2 6 4 2 3" xfId="13235" xr:uid="{D74DA426-6897-4A4C-BDD7-3F075CF155CF}"/>
    <cellStyle name="Normal 4 2 6 4 3" xfId="5981" xr:uid="{00000000-0005-0000-0000-0000FF130000}"/>
    <cellStyle name="Normal 4 2 6 4 3 2" xfId="15307" xr:uid="{3C827F83-4505-4DFF-B82F-47BD4AD9BE8A}"/>
    <cellStyle name="Normal 4 2 6 4 4" xfId="11090" xr:uid="{56328617-03D2-465F-B047-52E9FA6C98D1}"/>
    <cellStyle name="Normal 4 2 6 5" xfId="2088" xr:uid="{00000000-0005-0000-0000-000000140000}"/>
    <cellStyle name="Normal 4 2 6 5 2" xfId="4317" xr:uid="{00000000-0005-0000-0000-000001140000}"/>
    <cellStyle name="Normal 4 2 6 5 2 2" xfId="8539" xr:uid="{00000000-0005-0000-0000-000002140000}"/>
    <cellStyle name="Normal 4 2 6 5 2 2 2" xfId="17865" xr:uid="{53E8E7F1-8985-4943-82EE-BB0347B7FC77}"/>
    <cellStyle name="Normal 4 2 6 5 2 3" xfId="13648" xr:uid="{67747D71-4E2E-4C70-B292-0A45FE406466}"/>
    <cellStyle name="Normal 4 2 6 5 3" xfId="6394" xr:uid="{00000000-0005-0000-0000-000003140000}"/>
    <cellStyle name="Normal 4 2 6 5 3 2" xfId="15720" xr:uid="{4C29A691-5D65-4819-B574-CF9EB0CFEEBA}"/>
    <cellStyle name="Normal 4 2 6 5 4" xfId="11503" xr:uid="{F0B96840-91FE-4519-B3E1-E6D34FC4C024}"/>
    <cellStyle name="Normal 4 2 6 6" xfId="2524" xr:uid="{00000000-0005-0000-0000-000004140000}"/>
    <cellStyle name="Normal 4 2 6 6 2" xfId="6807" xr:uid="{00000000-0005-0000-0000-000005140000}"/>
    <cellStyle name="Normal 4 2 6 6 2 2" xfId="16133" xr:uid="{145BB53D-FA33-4847-A194-D07124309E07}"/>
    <cellStyle name="Normal 4 2 6 6 3" xfId="11916" xr:uid="{F6ABA56D-D3D6-448B-9418-E0A68A3D6DBF}"/>
    <cellStyle name="Normal 4 2 6 7" xfId="4742" xr:uid="{00000000-0005-0000-0000-000006140000}"/>
    <cellStyle name="Normal 4 2 6 7 2" xfId="14068" xr:uid="{9BCBF91A-4DA2-4910-B7A6-217004CBEAD7}"/>
    <cellStyle name="Normal 4 2 6 8" xfId="8962" xr:uid="{1A1596D6-3914-4465-A638-E540359059D2}"/>
    <cellStyle name="Normal 4 2 6 8 2" xfId="18286" xr:uid="{623E9A7E-F8F5-4DF3-A79C-6ED560106199}"/>
    <cellStyle name="Normal 4 2 6 9" xfId="9851" xr:uid="{9288587C-0D5F-4D50-8771-A5995C4DFBAA}"/>
    <cellStyle name="Normal 4 2 7" xfId="9165" xr:uid="{6363F967-7399-442D-B2CE-00085FF7F1E8}"/>
    <cellStyle name="Normal 4 2 7 2" xfId="18483" xr:uid="{402ED38C-2937-4618-BBD1-38EA6671E109}"/>
    <cellStyle name="Normal 4 2 8" xfId="8743" xr:uid="{E2B8331F-47F9-4829-99C7-E05840A106B9}"/>
    <cellStyle name="Normal 4 2 8 2" xfId="18067" xr:uid="{2C610C05-BBC6-4F0C-81BD-C0419AE4844B}"/>
    <cellStyle name="Normal 4 3" xfId="366" xr:uid="{00000000-0005-0000-0000-000007140000}"/>
    <cellStyle name="Normal 4 3 10" xfId="9852" xr:uid="{A50B3DA7-BE22-4BE5-9FC5-3EEB6BF123A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10 2" xfId="18146" xr:uid="{0D412945-D490-4EEE-89CC-4BB471B542D4}"/>
    <cellStyle name="Normal 4 3 2 2 2 11" xfId="9853" xr:uid="{5B791B15-BB25-4E4D-A71E-63301C1B27FE}"/>
    <cellStyle name="Normal 4 3 2 2 2 2" xfId="370" xr:uid="{00000000-0005-0000-0000-00000B140000}"/>
    <cellStyle name="Normal 4 3 2 2 2 2 10" xfId="9854" xr:uid="{0AD7A5AD-3C2C-4492-BE48-A1311EBF239A}"/>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2 2 2" xfId="16630" xr:uid="{D9AFA46D-D430-424D-B3A1-47ADCB1EC96F}"/>
    <cellStyle name="Normal 4 3 2 2 2 2 2 2 2 3" xfId="12413" xr:uid="{B00E61F9-EBA2-48E1-AD1D-6A05E004CD4D}"/>
    <cellStyle name="Normal 4 3 2 2 2 2 2 2 3" xfId="5159" xr:uid="{00000000-0005-0000-0000-000010140000}"/>
    <cellStyle name="Normal 4 3 2 2 2 2 2 2 3 2" xfId="14485" xr:uid="{FE6D5A39-0C48-4BD1-9B77-9FCF4C6A0C09}"/>
    <cellStyle name="Normal 4 3 2 2 2 2 2 2 4" xfId="9557" xr:uid="{4F6BDD99-7BF1-4D2F-9EDC-4F75F1942DB4}"/>
    <cellStyle name="Normal 4 3 2 2 2 2 2 2 4 2" xfId="18872" xr:uid="{D8D5AC31-FBC3-480D-958B-CC0215D70223}"/>
    <cellStyle name="Normal 4 3 2 2 2 2 2 2 5" xfId="10268" xr:uid="{8A6A00F9-ACF5-402D-9096-D16AD78E732A}"/>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2 2 2" xfId="17043" xr:uid="{F82CC69D-FAE1-485D-BB2B-6994D0EAE1BC}"/>
    <cellStyle name="Normal 4 3 2 2 2 2 2 3 2 3" xfId="12826" xr:uid="{EB932E72-72C9-4255-B0F1-1262AF262256}"/>
    <cellStyle name="Normal 4 3 2 2 2 2 2 3 3" xfId="5572" xr:uid="{00000000-0005-0000-0000-000014140000}"/>
    <cellStyle name="Normal 4 3 2 2 2 2 2 3 3 2" xfId="14898" xr:uid="{2FD8EBDA-9E09-4037-90F8-B02D7393FDDB}"/>
    <cellStyle name="Normal 4 3 2 2 2 2 2 3 4" xfId="10681" xr:uid="{B4B8B6A5-C1C3-479B-B475-E52429BEDC74}"/>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2 2 2" xfId="17456" xr:uid="{8A0E994E-DDBF-44E4-9CDF-4E320067196B}"/>
    <cellStyle name="Normal 4 3 2 2 2 2 2 4 2 3" xfId="13239" xr:uid="{E119E5E0-10F6-4E66-B5D1-FB5334D520E4}"/>
    <cellStyle name="Normal 4 3 2 2 2 2 2 4 3" xfId="5985" xr:uid="{00000000-0005-0000-0000-000018140000}"/>
    <cellStyle name="Normal 4 3 2 2 2 2 2 4 3 2" xfId="15311" xr:uid="{02A9FB21-6A0F-4BE8-9078-58A3D51724AE}"/>
    <cellStyle name="Normal 4 3 2 2 2 2 2 4 4" xfId="11094" xr:uid="{9B09B0C9-83E7-49B8-A800-0752E2BAEC7C}"/>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2 2 2" xfId="17869" xr:uid="{18785788-9CFE-405C-B3BB-9BF769D7C12C}"/>
    <cellStyle name="Normal 4 3 2 2 2 2 2 5 2 3" xfId="13652" xr:uid="{F688EB57-61FD-41F1-9EBA-596CFE3F4F56}"/>
    <cellStyle name="Normal 4 3 2 2 2 2 2 5 3" xfId="6398" xr:uid="{00000000-0005-0000-0000-00001C140000}"/>
    <cellStyle name="Normal 4 3 2 2 2 2 2 5 3 2" xfId="15724" xr:uid="{84F0D846-3923-4CE8-B699-6656F7A001AD}"/>
    <cellStyle name="Normal 4 3 2 2 2 2 2 5 4" xfId="11507" xr:uid="{913A1CCD-46EC-4192-8972-D7A16094B90A}"/>
    <cellStyle name="Normal 4 3 2 2 2 2 2 6" xfId="2528" xr:uid="{00000000-0005-0000-0000-00001D140000}"/>
    <cellStyle name="Normal 4 3 2 2 2 2 2 6 2" xfId="6811" xr:uid="{00000000-0005-0000-0000-00001E140000}"/>
    <cellStyle name="Normal 4 3 2 2 2 2 2 6 2 2" xfId="16137" xr:uid="{37656801-A5AD-490F-9F5A-5F9695F586E8}"/>
    <cellStyle name="Normal 4 3 2 2 2 2 2 6 3" xfId="11920" xr:uid="{8E86AA27-6431-4D7D-9A7A-4F516BC35646}"/>
    <cellStyle name="Normal 4 3 2 2 2 2 2 7" xfId="4746" xr:uid="{00000000-0005-0000-0000-00001F140000}"/>
    <cellStyle name="Normal 4 3 2 2 2 2 2 7 2" xfId="14072" xr:uid="{DEB1EF86-EA73-4FC1-91CA-104A4813D6E9}"/>
    <cellStyle name="Normal 4 3 2 2 2 2 2 8" xfId="9132" xr:uid="{14F6ED12-EABF-4C82-AD59-55D351026913}"/>
    <cellStyle name="Normal 4 3 2 2 2 2 2 8 2" xfId="18456" xr:uid="{0EC91D4D-9DBB-478C-BA0B-D431D1B3A690}"/>
    <cellStyle name="Normal 4 3 2 2 2 2 2 9" xfId="9855" xr:uid="{E84C4193-4EAE-4E7F-97EC-FE0EF28335B0}"/>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2 2 2" xfId="16629" xr:uid="{E2299928-6A3D-4263-8BE4-4241BB13F501}"/>
    <cellStyle name="Normal 4 3 2 2 2 2 3 2 3" xfId="12412" xr:uid="{FCC76651-2C61-46A6-AC6E-C7D82C037766}"/>
    <cellStyle name="Normal 4 3 2 2 2 2 3 3" xfId="5158" xr:uid="{00000000-0005-0000-0000-000023140000}"/>
    <cellStyle name="Normal 4 3 2 2 2 2 3 3 2" xfId="14484" xr:uid="{A3D426A0-3CBF-4214-89FC-BBBB0B8D81F6}"/>
    <cellStyle name="Normal 4 3 2 2 2 2 3 4" xfId="9350" xr:uid="{DFFEAFB7-A284-4FD9-B115-C19DA011CCC7}"/>
    <cellStyle name="Normal 4 3 2 2 2 2 3 4 2" xfId="18665" xr:uid="{A98BD6B3-F5BC-4FBB-9B81-BE7E01650358}"/>
    <cellStyle name="Normal 4 3 2 2 2 2 3 5" xfId="10267" xr:uid="{EF542DC0-F969-456A-B3AB-6E1FC04EC732}"/>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2 2 2" xfId="17042" xr:uid="{D0647A3B-9CE2-4EC6-8A4C-A7FF7F1DE440}"/>
    <cellStyle name="Normal 4 3 2 2 2 2 4 2 3" xfId="12825" xr:uid="{584FA9A1-EFFF-4128-9213-6CB5A63A18A0}"/>
    <cellStyle name="Normal 4 3 2 2 2 2 4 3" xfId="5571" xr:uid="{00000000-0005-0000-0000-000027140000}"/>
    <cellStyle name="Normal 4 3 2 2 2 2 4 3 2" xfId="14897" xr:uid="{BE9F412A-6343-4A8F-8E7F-3DA8E2CB29FC}"/>
    <cellStyle name="Normal 4 3 2 2 2 2 4 4" xfId="10680" xr:uid="{7E330266-55C0-4C93-9075-EF940F517349}"/>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2 2 2" xfId="17455" xr:uid="{35B551BB-75C4-43AF-9175-1365CAF0CA81}"/>
    <cellStyle name="Normal 4 3 2 2 2 2 5 2 3" xfId="13238" xr:uid="{AB4D48AD-4E31-4CE3-BFAD-EE08C31FA749}"/>
    <cellStyle name="Normal 4 3 2 2 2 2 5 3" xfId="5984" xr:uid="{00000000-0005-0000-0000-00002B140000}"/>
    <cellStyle name="Normal 4 3 2 2 2 2 5 3 2" xfId="15310" xr:uid="{B8E16B19-5052-42E0-8799-844587C47699}"/>
    <cellStyle name="Normal 4 3 2 2 2 2 5 4" xfId="11093" xr:uid="{70725104-9EA8-47AB-8B16-D9A9F5B9F707}"/>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2 2 2" xfId="17868" xr:uid="{7BCB26B7-52C5-40E1-90C4-E05ABB300059}"/>
    <cellStyle name="Normal 4 3 2 2 2 2 6 2 3" xfId="13651" xr:uid="{7A8DD2DD-E0FB-46BA-886E-7A28D7BF6494}"/>
    <cellStyle name="Normal 4 3 2 2 2 2 6 3" xfId="6397" xr:uid="{00000000-0005-0000-0000-00002F140000}"/>
    <cellStyle name="Normal 4 3 2 2 2 2 6 3 2" xfId="15723" xr:uid="{5EB007E8-6C21-40EA-B2AA-4DB0CD22991E}"/>
    <cellStyle name="Normal 4 3 2 2 2 2 6 4" xfId="11506" xr:uid="{AB2667B6-C260-4299-8741-7D90EF61B4DC}"/>
    <cellStyle name="Normal 4 3 2 2 2 2 7" xfId="2527" xr:uid="{00000000-0005-0000-0000-000030140000}"/>
    <cellStyle name="Normal 4 3 2 2 2 2 7 2" xfId="6810" xr:uid="{00000000-0005-0000-0000-000031140000}"/>
    <cellStyle name="Normal 4 3 2 2 2 2 7 2 2" xfId="16136" xr:uid="{086AE520-D74E-4103-932A-0DAB12F15BBD}"/>
    <cellStyle name="Normal 4 3 2 2 2 2 7 3" xfId="11919" xr:uid="{75DBCFA9-D5B2-47CD-B6E3-19152C5BF3CA}"/>
    <cellStyle name="Normal 4 3 2 2 2 2 8" xfId="4745" xr:uid="{00000000-0005-0000-0000-000032140000}"/>
    <cellStyle name="Normal 4 3 2 2 2 2 8 2" xfId="14071" xr:uid="{4E82F668-56A3-40BB-B57E-ABABCC50C8A8}"/>
    <cellStyle name="Normal 4 3 2 2 2 2 9" xfId="8925" xr:uid="{71BB8AFA-37D7-474D-A12B-C284DDE23CE9}"/>
    <cellStyle name="Normal 4 3 2 2 2 2 9 2" xfId="18249" xr:uid="{8ADFD1B9-04AA-4ABB-898A-8AB1AC776E6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2 2 2" xfId="16631" xr:uid="{78A850FF-7955-4421-872D-DE6C33D4E9AE}"/>
    <cellStyle name="Normal 4 3 2 2 2 3 2 2 3" xfId="12414" xr:uid="{DE9FBC2C-3823-408E-B002-3C386F5E2A55}"/>
    <cellStyle name="Normal 4 3 2 2 2 3 2 3" xfId="5160" xr:uid="{00000000-0005-0000-0000-000037140000}"/>
    <cellStyle name="Normal 4 3 2 2 2 3 2 3 2" xfId="14486" xr:uid="{205C7961-EAA0-4571-A9CD-E8664614BE4E}"/>
    <cellStyle name="Normal 4 3 2 2 2 3 2 4" xfId="9454" xr:uid="{B81F5EAA-7D8E-43B5-94D7-313E66088BA5}"/>
    <cellStyle name="Normal 4 3 2 2 2 3 2 4 2" xfId="18769" xr:uid="{F0D7208C-A532-4DAE-9598-4C5203041B3A}"/>
    <cellStyle name="Normal 4 3 2 2 2 3 2 5" xfId="10269" xr:uid="{3C616D92-05B5-4D8E-892B-D5F1C4C50A1F}"/>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2 2 2" xfId="17044" xr:uid="{0BD6593C-11E5-42C5-BCE4-BF3F57AEA6E6}"/>
    <cellStyle name="Normal 4 3 2 2 2 3 3 2 3" xfId="12827" xr:uid="{7F8890A3-0FC7-4A15-8E01-F812348E5994}"/>
    <cellStyle name="Normal 4 3 2 2 2 3 3 3" xfId="5573" xr:uid="{00000000-0005-0000-0000-00003B140000}"/>
    <cellStyle name="Normal 4 3 2 2 2 3 3 3 2" xfId="14899" xr:uid="{BBCE66FC-CE70-4304-8A57-2CEE73E99C25}"/>
    <cellStyle name="Normal 4 3 2 2 2 3 3 4" xfId="10682" xr:uid="{74BADBA1-1CBA-488A-B7EA-0A285C559F2B}"/>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2 2 2" xfId="17457" xr:uid="{C3A1436F-5815-42E3-A251-70AF706D8688}"/>
    <cellStyle name="Normal 4 3 2 2 2 3 4 2 3" xfId="13240" xr:uid="{E479FCC5-C32C-4303-9CF1-058897504D52}"/>
    <cellStyle name="Normal 4 3 2 2 2 3 4 3" xfId="5986" xr:uid="{00000000-0005-0000-0000-00003F140000}"/>
    <cellStyle name="Normal 4 3 2 2 2 3 4 3 2" xfId="15312" xr:uid="{2311C569-5676-4697-B26D-6CE63AD13A5A}"/>
    <cellStyle name="Normal 4 3 2 2 2 3 4 4" xfId="11095" xr:uid="{1B7FD789-8DA4-45EA-B819-EE0313E77B67}"/>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2 2 2" xfId="17870" xr:uid="{7F9ED0D1-C6EA-4211-BB47-C0F0FF677D95}"/>
    <cellStyle name="Normal 4 3 2 2 2 3 5 2 3" xfId="13653" xr:uid="{FE32B2A1-C7D3-41F5-A679-0B519A116B42}"/>
    <cellStyle name="Normal 4 3 2 2 2 3 5 3" xfId="6399" xr:uid="{00000000-0005-0000-0000-000043140000}"/>
    <cellStyle name="Normal 4 3 2 2 2 3 5 3 2" xfId="15725" xr:uid="{4F458516-7FC4-4D0C-A6C3-F8143B783831}"/>
    <cellStyle name="Normal 4 3 2 2 2 3 5 4" xfId="11508" xr:uid="{3FAF7D15-61DC-4A38-932E-5B3B4C5CDBBC}"/>
    <cellStyle name="Normal 4 3 2 2 2 3 6" xfId="2529" xr:uid="{00000000-0005-0000-0000-000044140000}"/>
    <cellStyle name="Normal 4 3 2 2 2 3 6 2" xfId="6812" xr:uid="{00000000-0005-0000-0000-000045140000}"/>
    <cellStyle name="Normal 4 3 2 2 2 3 6 2 2" xfId="16138" xr:uid="{56113CE2-27F2-4A92-B627-C8653C6BB1BA}"/>
    <cellStyle name="Normal 4 3 2 2 2 3 6 3" xfId="11921" xr:uid="{B41A2148-067B-4427-8FE2-34E3B1EBA209}"/>
    <cellStyle name="Normal 4 3 2 2 2 3 7" xfId="4747" xr:uid="{00000000-0005-0000-0000-000046140000}"/>
    <cellStyle name="Normal 4 3 2 2 2 3 7 2" xfId="14073" xr:uid="{9C18B765-D738-4BC9-AC49-7A20187A7972}"/>
    <cellStyle name="Normal 4 3 2 2 2 3 8" xfId="9029" xr:uid="{CC421D7E-69EF-4D96-A95C-E67F046F8D14}"/>
    <cellStyle name="Normal 4 3 2 2 2 3 8 2" xfId="18353" xr:uid="{61951F20-3C28-4F2A-B6EF-313CD2B19067}"/>
    <cellStyle name="Normal 4 3 2 2 2 3 9" xfId="9856" xr:uid="{56D643AB-60A9-4D57-9F68-1F81B1B92ADB}"/>
    <cellStyle name="Normal 4 3 2 2 2 4" xfId="844" xr:uid="{00000000-0005-0000-0000-000047140000}"/>
    <cellStyle name="Normal 4 3 2 2 2 4 2" xfId="3080" xr:uid="{00000000-0005-0000-0000-000048140000}"/>
    <cellStyle name="Normal 4 3 2 2 2 4 2 2" xfId="7302" xr:uid="{00000000-0005-0000-0000-000049140000}"/>
    <cellStyle name="Normal 4 3 2 2 2 4 2 2 2" xfId="16628" xr:uid="{A670BB32-25AE-4C12-ADEE-FA3727B0C519}"/>
    <cellStyle name="Normal 4 3 2 2 2 4 2 3" xfId="12411" xr:uid="{97023CF2-298F-4A77-B672-8D15B18811C2}"/>
    <cellStyle name="Normal 4 3 2 2 2 4 3" xfId="5157" xr:uid="{00000000-0005-0000-0000-00004A140000}"/>
    <cellStyle name="Normal 4 3 2 2 2 4 3 2" xfId="14483" xr:uid="{ADF059F8-1B17-4834-BB46-61AE1550B684}"/>
    <cellStyle name="Normal 4 3 2 2 2 4 4" xfId="9247" xr:uid="{70D9D224-DB0B-42B4-B4A9-BC88F455C395}"/>
    <cellStyle name="Normal 4 3 2 2 2 4 4 2" xfId="18562" xr:uid="{2508477D-B447-4225-9164-38FD1C99D0D8}"/>
    <cellStyle name="Normal 4 3 2 2 2 4 5" xfId="10266" xr:uid="{10A95BDB-D6C9-4868-9253-952C2736C2E2}"/>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2 2 2" xfId="17041" xr:uid="{4AD887A9-BB22-4C8C-97F2-4AE80F2F3B2B}"/>
    <cellStyle name="Normal 4 3 2 2 2 5 2 3" xfId="12824" xr:uid="{0E110E73-E446-454A-B8B6-12391564E21D}"/>
    <cellStyle name="Normal 4 3 2 2 2 5 3" xfId="5570" xr:uid="{00000000-0005-0000-0000-00004E140000}"/>
    <cellStyle name="Normal 4 3 2 2 2 5 3 2" xfId="14896" xr:uid="{AE10E6FA-55CC-453F-8750-F3E7C48D617B}"/>
    <cellStyle name="Normal 4 3 2 2 2 5 4" xfId="10679" xr:uid="{6E44C384-74ED-422F-9B09-1510BDE4B306}"/>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2 2 2" xfId="17454" xr:uid="{DFF71B49-5242-4373-B712-4FA46E29ABF9}"/>
    <cellStyle name="Normal 4 3 2 2 2 6 2 3" xfId="13237" xr:uid="{C2AC2D06-9E4F-4B23-8FDE-E05500AC3DF0}"/>
    <cellStyle name="Normal 4 3 2 2 2 6 3" xfId="5983" xr:uid="{00000000-0005-0000-0000-000052140000}"/>
    <cellStyle name="Normal 4 3 2 2 2 6 3 2" xfId="15309" xr:uid="{AB195DEB-554A-46F9-BE56-500D6C2B1D8F}"/>
    <cellStyle name="Normal 4 3 2 2 2 6 4" xfId="11092" xr:uid="{14B20652-A3F1-4791-A0E3-3CF8188D51E2}"/>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2 2 2" xfId="17867" xr:uid="{03DA82C3-A15D-47D4-AD1D-646CB1D5219D}"/>
    <cellStyle name="Normal 4 3 2 2 2 7 2 3" xfId="13650" xr:uid="{8998F449-0D2D-44DF-A591-4A3592C3686E}"/>
    <cellStyle name="Normal 4 3 2 2 2 7 3" xfId="6396" xr:uid="{00000000-0005-0000-0000-000056140000}"/>
    <cellStyle name="Normal 4 3 2 2 2 7 3 2" xfId="15722" xr:uid="{0F534372-217A-4411-9865-D055CB314A53}"/>
    <cellStyle name="Normal 4 3 2 2 2 7 4" xfId="11505" xr:uid="{0302EAFE-50E3-4CFE-B421-E6F06A4C5F7A}"/>
    <cellStyle name="Normal 4 3 2 2 2 8" xfId="2526" xr:uid="{00000000-0005-0000-0000-000057140000}"/>
    <cellStyle name="Normal 4 3 2 2 2 8 2" xfId="6809" xr:uid="{00000000-0005-0000-0000-000058140000}"/>
    <cellStyle name="Normal 4 3 2 2 2 8 2 2" xfId="16135" xr:uid="{63F57BB9-AD69-4DD9-A225-9D8A584AB1B3}"/>
    <cellStyle name="Normal 4 3 2 2 2 8 3" xfId="11918" xr:uid="{D2C146FC-C265-4D46-98C7-92879D396684}"/>
    <cellStyle name="Normal 4 3 2 2 2 9" xfId="4744" xr:uid="{00000000-0005-0000-0000-000059140000}"/>
    <cellStyle name="Normal 4 3 2 2 2 9 2" xfId="14070" xr:uid="{B2C8AA72-21FE-49B7-BD78-143B615E2E4B}"/>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10 2" xfId="18145" xr:uid="{9FCD3BD0-51EB-4B65-B786-23EAE02B835A}"/>
    <cellStyle name="Normal 4 3 3 11" xfId="9857" xr:uid="{AF540C00-2BB3-487D-8E6B-BDF8BF791CDF}"/>
    <cellStyle name="Normal 4 3 3 2" xfId="375" xr:uid="{00000000-0005-0000-0000-00005E140000}"/>
    <cellStyle name="Normal 4 3 3 2 10" xfId="9858" xr:uid="{63A464B9-215B-424A-9ADF-BB21B8C7187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2 2 2" xfId="16634" xr:uid="{016D2EEA-BED7-4F4D-B5C4-BF21A13DFBBB}"/>
    <cellStyle name="Normal 4 3 3 2 2 2 2 3" xfId="12417" xr:uid="{DE417B03-A81C-4724-9594-37DFF3B7DAD0}"/>
    <cellStyle name="Normal 4 3 3 2 2 2 3" xfId="5163" xr:uid="{00000000-0005-0000-0000-000063140000}"/>
    <cellStyle name="Normal 4 3 3 2 2 2 3 2" xfId="14489" xr:uid="{B596DB4D-AD76-4FD2-A471-DC1E67154C30}"/>
    <cellStyle name="Normal 4 3 3 2 2 2 4" xfId="9556" xr:uid="{7233D5E9-9F1E-43FF-8391-DCCFDF8A705D}"/>
    <cellStyle name="Normal 4 3 3 2 2 2 4 2" xfId="18871" xr:uid="{A6E87DFB-D65E-4517-A89B-534235BDAF15}"/>
    <cellStyle name="Normal 4 3 3 2 2 2 5" xfId="10272" xr:uid="{5F97D583-508B-4B80-AC92-3DEBC264D1FA}"/>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2 2 2" xfId="17047" xr:uid="{5E28D22D-0858-4251-BA33-4E7ABE01D0F9}"/>
    <cellStyle name="Normal 4 3 3 2 2 3 2 3" xfId="12830" xr:uid="{2FB777FE-9297-445B-AF34-0D01B3D1E5F4}"/>
    <cellStyle name="Normal 4 3 3 2 2 3 3" xfId="5576" xr:uid="{00000000-0005-0000-0000-000067140000}"/>
    <cellStyle name="Normal 4 3 3 2 2 3 3 2" xfId="14902" xr:uid="{4F70992F-4C94-4F02-86C5-F956BFF7F3A9}"/>
    <cellStyle name="Normal 4 3 3 2 2 3 4" xfId="10685" xr:uid="{3504DAF4-8F19-4AF5-9F83-D1E83B1A2C64}"/>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2 2 2" xfId="17460" xr:uid="{FC00B65E-07CE-476F-9E33-93DFE8BF36A9}"/>
    <cellStyle name="Normal 4 3 3 2 2 4 2 3" xfId="13243" xr:uid="{A7BF4CFA-8ACB-4DB0-9568-8ACE85C44D54}"/>
    <cellStyle name="Normal 4 3 3 2 2 4 3" xfId="5989" xr:uid="{00000000-0005-0000-0000-00006B140000}"/>
    <cellStyle name="Normal 4 3 3 2 2 4 3 2" xfId="15315" xr:uid="{F40FB0C8-AA11-4EF5-A3BE-3F268B472688}"/>
    <cellStyle name="Normal 4 3 3 2 2 4 4" xfId="11098" xr:uid="{EFE04549-86E3-4DEA-9F61-DD2C28E07504}"/>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2 2 2" xfId="17873" xr:uid="{74332DE7-EE30-4801-A805-D320E1A949E6}"/>
    <cellStyle name="Normal 4 3 3 2 2 5 2 3" xfId="13656" xr:uid="{C2DAF914-D5A7-41CB-A796-B1646F4ECF5A}"/>
    <cellStyle name="Normal 4 3 3 2 2 5 3" xfId="6402" xr:uid="{00000000-0005-0000-0000-00006F140000}"/>
    <cellStyle name="Normal 4 3 3 2 2 5 3 2" xfId="15728" xr:uid="{3A91082F-9C5E-490A-AC66-88E7888633E7}"/>
    <cellStyle name="Normal 4 3 3 2 2 5 4" xfId="11511" xr:uid="{5E31154D-C613-45A9-945E-756F26AFED38}"/>
    <cellStyle name="Normal 4 3 3 2 2 6" xfId="2532" xr:uid="{00000000-0005-0000-0000-000070140000}"/>
    <cellStyle name="Normal 4 3 3 2 2 6 2" xfId="6815" xr:uid="{00000000-0005-0000-0000-000071140000}"/>
    <cellStyle name="Normal 4 3 3 2 2 6 2 2" xfId="16141" xr:uid="{EFCF8671-C4B3-4DE9-9859-AFC1E236C263}"/>
    <cellStyle name="Normal 4 3 3 2 2 6 3" xfId="11924" xr:uid="{DC90FF44-02D5-4895-98E2-8166BB8FAB4E}"/>
    <cellStyle name="Normal 4 3 3 2 2 7" xfId="4750" xr:uid="{00000000-0005-0000-0000-000072140000}"/>
    <cellStyle name="Normal 4 3 3 2 2 7 2" xfId="14076" xr:uid="{8444DD86-3AF3-4A2D-8774-858B15231AA4}"/>
    <cellStyle name="Normal 4 3 3 2 2 8" xfId="9131" xr:uid="{D7BA3B10-6765-4B57-99D1-3AF7343772F8}"/>
    <cellStyle name="Normal 4 3 3 2 2 8 2" xfId="18455" xr:uid="{75DFB5F3-68CD-4EE4-A106-F2BD2E26E1CD}"/>
    <cellStyle name="Normal 4 3 3 2 2 9" xfId="9859" xr:uid="{108A31BF-684C-4622-BB7B-97EF1820F199}"/>
    <cellStyle name="Normal 4 3 3 2 3" xfId="850" xr:uid="{00000000-0005-0000-0000-000073140000}"/>
    <cellStyle name="Normal 4 3 3 2 3 2" xfId="3085" xr:uid="{00000000-0005-0000-0000-000074140000}"/>
    <cellStyle name="Normal 4 3 3 2 3 2 2" xfId="7307" xr:uid="{00000000-0005-0000-0000-000075140000}"/>
    <cellStyle name="Normal 4 3 3 2 3 2 2 2" xfId="16633" xr:uid="{2B6A3A0C-D3D1-4872-B92E-B0834059F80B}"/>
    <cellStyle name="Normal 4 3 3 2 3 2 3" xfId="12416" xr:uid="{FF92EB0F-3322-4603-B331-9F4AF53BA14E}"/>
    <cellStyle name="Normal 4 3 3 2 3 3" xfId="5162" xr:uid="{00000000-0005-0000-0000-000076140000}"/>
    <cellStyle name="Normal 4 3 3 2 3 3 2" xfId="14488" xr:uid="{59EEFE33-1FED-4A91-A185-EC567612D2BD}"/>
    <cellStyle name="Normal 4 3 3 2 3 4" xfId="9349" xr:uid="{E498700C-D7AE-42FC-8EB1-59BA2C1BA6B9}"/>
    <cellStyle name="Normal 4 3 3 2 3 4 2" xfId="18664" xr:uid="{C6EB9837-8671-4D9D-B46F-2F35713F039D}"/>
    <cellStyle name="Normal 4 3 3 2 3 5" xfId="10271" xr:uid="{1A28F37F-2F5C-4B60-A427-F8B144302D2D}"/>
    <cellStyle name="Normal 4 3 3 2 4" xfId="1268" xr:uid="{00000000-0005-0000-0000-000077140000}"/>
    <cellStyle name="Normal 4 3 3 2 4 2" xfId="3498" xr:uid="{00000000-0005-0000-0000-000078140000}"/>
    <cellStyle name="Normal 4 3 3 2 4 2 2" xfId="7720" xr:uid="{00000000-0005-0000-0000-000079140000}"/>
    <cellStyle name="Normal 4 3 3 2 4 2 2 2" xfId="17046" xr:uid="{1B5CC44F-1DD5-49D2-B6F3-750CDFE0DB03}"/>
    <cellStyle name="Normal 4 3 3 2 4 2 3" xfId="12829" xr:uid="{A2014E64-510D-419E-A812-B87FD3DEF07F}"/>
    <cellStyle name="Normal 4 3 3 2 4 3" xfId="5575" xr:uid="{00000000-0005-0000-0000-00007A140000}"/>
    <cellStyle name="Normal 4 3 3 2 4 3 2" xfId="14901" xr:uid="{9099DFA2-F2D3-4461-864E-D3D1CECD7411}"/>
    <cellStyle name="Normal 4 3 3 2 4 4" xfId="10684" xr:uid="{5B39FF49-F110-4E31-97B7-709A1CB0475F}"/>
    <cellStyle name="Normal 4 3 3 2 5" xfId="1681" xr:uid="{00000000-0005-0000-0000-00007B140000}"/>
    <cellStyle name="Normal 4 3 3 2 5 2" xfId="3911" xr:uid="{00000000-0005-0000-0000-00007C140000}"/>
    <cellStyle name="Normal 4 3 3 2 5 2 2" xfId="8133" xr:uid="{00000000-0005-0000-0000-00007D140000}"/>
    <cellStyle name="Normal 4 3 3 2 5 2 2 2" xfId="17459" xr:uid="{BFA085B9-1426-4CC8-B439-A5E6F3D06D35}"/>
    <cellStyle name="Normal 4 3 3 2 5 2 3" xfId="13242" xr:uid="{06280CF5-13CF-4125-B971-E911DE7D6B3D}"/>
    <cellStyle name="Normal 4 3 3 2 5 3" xfId="5988" xr:uid="{00000000-0005-0000-0000-00007E140000}"/>
    <cellStyle name="Normal 4 3 3 2 5 3 2" xfId="15314" xr:uid="{F0F0D0EB-5C2B-49A3-9E4C-132F845970D3}"/>
    <cellStyle name="Normal 4 3 3 2 5 4" xfId="11097" xr:uid="{9CB774A5-58BE-4477-B9E6-1062A848BBCC}"/>
    <cellStyle name="Normal 4 3 3 2 6" xfId="2095" xr:uid="{00000000-0005-0000-0000-00007F140000}"/>
    <cellStyle name="Normal 4 3 3 2 6 2" xfId="4324" xr:uid="{00000000-0005-0000-0000-000080140000}"/>
    <cellStyle name="Normal 4 3 3 2 6 2 2" xfId="8546" xr:uid="{00000000-0005-0000-0000-000081140000}"/>
    <cellStyle name="Normal 4 3 3 2 6 2 2 2" xfId="17872" xr:uid="{EC3E1F74-9C12-4AD8-B81E-2DA8E132E67F}"/>
    <cellStyle name="Normal 4 3 3 2 6 2 3" xfId="13655" xr:uid="{0D000FE8-3543-4A41-BE0B-5FD3DB7A0866}"/>
    <cellStyle name="Normal 4 3 3 2 6 3" xfId="6401" xr:uid="{00000000-0005-0000-0000-000082140000}"/>
    <cellStyle name="Normal 4 3 3 2 6 3 2" xfId="15727" xr:uid="{3439EC2A-6C21-41EB-AFE1-24F54DE923B7}"/>
    <cellStyle name="Normal 4 3 3 2 6 4" xfId="11510" xr:uid="{8344622B-68FC-4637-8286-846C0B85F860}"/>
    <cellStyle name="Normal 4 3 3 2 7" xfId="2531" xr:uid="{00000000-0005-0000-0000-000083140000}"/>
    <cellStyle name="Normal 4 3 3 2 7 2" xfId="6814" xr:uid="{00000000-0005-0000-0000-000084140000}"/>
    <cellStyle name="Normal 4 3 3 2 7 2 2" xfId="16140" xr:uid="{DB6896CF-438E-4878-B4A2-357775B91891}"/>
    <cellStyle name="Normal 4 3 3 2 7 3" xfId="11923" xr:uid="{44760E39-758B-4797-AD24-9A5EC3F137D5}"/>
    <cellStyle name="Normal 4 3 3 2 8" xfId="4749" xr:uid="{00000000-0005-0000-0000-000085140000}"/>
    <cellStyle name="Normal 4 3 3 2 8 2" xfId="14075" xr:uid="{5EF756DD-87B1-40A1-BC19-6D2D2DC88B36}"/>
    <cellStyle name="Normal 4 3 3 2 9" xfId="8924" xr:uid="{F9E914C5-63E8-4CB8-8EA1-7427CE35C4AA}"/>
    <cellStyle name="Normal 4 3 3 2 9 2" xfId="18248" xr:uid="{1D69A584-0338-4DE9-ACA7-8B92F9139F2D}"/>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2 2 2" xfId="16635" xr:uid="{D52B7B15-0EF9-4648-BAF7-FB9D3104ED02}"/>
    <cellStyle name="Normal 4 3 3 3 2 2 3" xfId="12418" xr:uid="{340D54A5-2139-4EFB-9E7E-D77832CC8988}"/>
    <cellStyle name="Normal 4 3 3 3 2 3" xfId="5164" xr:uid="{00000000-0005-0000-0000-00008A140000}"/>
    <cellStyle name="Normal 4 3 3 3 2 3 2" xfId="14490" xr:uid="{350ADCC7-8D76-4074-99E0-5C98CF4108EF}"/>
    <cellStyle name="Normal 4 3 3 3 2 4" xfId="9453" xr:uid="{18D68920-503C-42C1-A733-EBE17DC6D008}"/>
    <cellStyle name="Normal 4 3 3 3 2 4 2" xfId="18768" xr:uid="{C9EA5B63-9A4D-45B3-AC13-4C5B68DFBE80}"/>
    <cellStyle name="Normal 4 3 3 3 2 5" xfId="10273" xr:uid="{3FE40ECF-F8FD-4358-857D-279046FADB44}"/>
    <cellStyle name="Normal 4 3 3 3 3" xfId="1270" xr:uid="{00000000-0005-0000-0000-00008B140000}"/>
    <cellStyle name="Normal 4 3 3 3 3 2" xfId="3500" xr:uid="{00000000-0005-0000-0000-00008C140000}"/>
    <cellStyle name="Normal 4 3 3 3 3 2 2" xfId="7722" xr:uid="{00000000-0005-0000-0000-00008D140000}"/>
    <cellStyle name="Normal 4 3 3 3 3 2 2 2" xfId="17048" xr:uid="{ECD3F4EF-2CAC-4A3E-B9AE-A1BD8AA958D0}"/>
    <cellStyle name="Normal 4 3 3 3 3 2 3" xfId="12831" xr:uid="{7F6B9D46-7C7D-4684-A391-4222E881DD19}"/>
    <cellStyle name="Normal 4 3 3 3 3 3" xfId="5577" xr:uid="{00000000-0005-0000-0000-00008E140000}"/>
    <cellStyle name="Normal 4 3 3 3 3 3 2" xfId="14903" xr:uid="{22C7A080-3EE3-4128-96C5-39DB80A73940}"/>
    <cellStyle name="Normal 4 3 3 3 3 4" xfId="10686" xr:uid="{A6957E07-32EB-4E4F-AE89-0AE0A814A9FC}"/>
    <cellStyle name="Normal 4 3 3 3 4" xfId="1683" xr:uid="{00000000-0005-0000-0000-00008F140000}"/>
    <cellStyle name="Normal 4 3 3 3 4 2" xfId="3913" xr:uid="{00000000-0005-0000-0000-000090140000}"/>
    <cellStyle name="Normal 4 3 3 3 4 2 2" xfId="8135" xr:uid="{00000000-0005-0000-0000-000091140000}"/>
    <cellStyle name="Normal 4 3 3 3 4 2 2 2" xfId="17461" xr:uid="{7DDDEE9C-47F5-4168-91F1-227BAF1182D0}"/>
    <cellStyle name="Normal 4 3 3 3 4 2 3" xfId="13244" xr:uid="{1DE0A240-B74B-4266-BEFD-6E17A18BBD53}"/>
    <cellStyle name="Normal 4 3 3 3 4 3" xfId="5990" xr:uid="{00000000-0005-0000-0000-000092140000}"/>
    <cellStyle name="Normal 4 3 3 3 4 3 2" xfId="15316" xr:uid="{A40EC70E-673B-4F31-AD4D-3F123614FAF8}"/>
    <cellStyle name="Normal 4 3 3 3 4 4" xfId="11099" xr:uid="{3FFAC0A2-0EF4-4CA2-8F25-80679A92B646}"/>
    <cellStyle name="Normal 4 3 3 3 5" xfId="2097" xr:uid="{00000000-0005-0000-0000-000093140000}"/>
    <cellStyle name="Normal 4 3 3 3 5 2" xfId="4326" xr:uid="{00000000-0005-0000-0000-000094140000}"/>
    <cellStyle name="Normal 4 3 3 3 5 2 2" xfId="8548" xr:uid="{00000000-0005-0000-0000-000095140000}"/>
    <cellStyle name="Normal 4 3 3 3 5 2 2 2" xfId="17874" xr:uid="{ECC4F5D1-E5BA-4AEC-B24B-C07E16AFD0C9}"/>
    <cellStyle name="Normal 4 3 3 3 5 2 3" xfId="13657" xr:uid="{0CD47E60-92D1-4D7C-B24F-935DEED2DE5B}"/>
    <cellStyle name="Normal 4 3 3 3 5 3" xfId="6403" xr:uid="{00000000-0005-0000-0000-000096140000}"/>
    <cellStyle name="Normal 4 3 3 3 5 3 2" xfId="15729" xr:uid="{C1EBD4F2-64F3-494D-8031-535A992E0B6A}"/>
    <cellStyle name="Normal 4 3 3 3 5 4" xfId="11512" xr:uid="{63ABDF0F-3B84-43F9-A3AC-1E0A5C67EAC6}"/>
    <cellStyle name="Normal 4 3 3 3 6" xfId="2533" xr:uid="{00000000-0005-0000-0000-000097140000}"/>
    <cellStyle name="Normal 4 3 3 3 6 2" xfId="6816" xr:uid="{00000000-0005-0000-0000-000098140000}"/>
    <cellStyle name="Normal 4 3 3 3 6 2 2" xfId="16142" xr:uid="{0CEF61C9-A8D9-4FF7-8BA3-E756F6314839}"/>
    <cellStyle name="Normal 4 3 3 3 6 3" xfId="11925" xr:uid="{37B80AB9-E805-4C46-9B4D-F2D06BAC69EF}"/>
    <cellStyle name="Normal 4 3 3 3 7" xfId="4751" xr:uid="{00000000-0005-0000-0000-000099140000}"/>
    <cellStyle name="Normal 4 3 3 3 7 2" xfId="14077" xr:uid="{562E8620-4766-483C-8452-6FB772EED08D}"/>
    <cellStyle name="Normal 4 3 3 3 8" xfId="9028" xr:uid="{A0BD85BE-0D8B-455E-B326-708B8FF8A8C8}"/>
    <cellStyle name="Normal 4 3 3 3 8 2" xfId="18352" xr:uid="{092BEF2D-9415-4546-BC33-F22FB594574E}"/>
    <cellStyle name="Normal 4 3 3 3 9" xfId="9860" xr:uid="{C0FADD7A-4677-41EB-AD02-6FFED4591758}"/>
    <cellStyle name="Normal 4 3 3 4" xfId="849" xr:uid="{00000000-0005-0000-0000-00009A140000}"/>
    <cellStyle name="Normal 4 3 3 4 2" xfId="3084" xr:uid="{00000000-0005-0000-0000-00009B140000}"/>
    <cellStyle name="Normal 4 3 3 4 2 2" xfId="7306" xr:uid="{00000000-0005-0000-0000-00009C140000}"/>
    <cellStyle name="Normal 4 3 3 4 2 2 2" xfId="16632" xr:uid="{C41D724E-018E-41FA-8793-9A5AFECF799E}"/>
    <cellStyle name="Normal 4 3 3 4 2 3" xfId="12415" xr:uid="{EB4681DF-82E0-4B16-8163-D82ACB6DF564}"/>
    <cellStyle name="Normal 4 3 3 4 3" xfId="5161" xr:uid="{00000000-0005-0000-0000-00009D140000}"/>
    <cellStyle name="Normal 4 3 3 4 3 2" xfId="14487" xr:uid="{448FC7C3-3F74-4341-9365-70893512C30F}"/>
    <cellStyle name="Normal 4 3 3 4 4" xfId="9246" xr:uid="{E1107DA9-8F13-4216-80A2-CEA1D2EF57FC}"/>
    <cellStyle name="Normal 4 3 3 4 4 2" xfId="18561" xr:uid="{11BAF1F8-58C5-4332-AB44-998419FCAEBF}"/>
    <cellStyle name="Normal 4 3 3 4 5" xfId="10270" xr:uid="{3C410B13-3A72-409D-B252-9B7BC6747556}"/>
    <cellStyle name="Normal 4 3 3 5" xfId="1267" xr:uid="{00000000-0005-0000-0000-00009E140000}"/>
    <cellStyle name="Normal 4 3 3 5 2" xfId="3497" xr:uid="{00000000-0005-0000-0000-00009F140000}"/>
    <cellStyle name="Normal 4 3 3 5 2 2" xfId="7719" xr:uid="{00000000-0005-0000-0000-0000A0140000}"/>
    <cellStyle name="Normal 4 3 3 5 2 2 2" xfId="17045" xr:uid="{A872ACDD-47F5-432D-ADE1-4CE789C94A15}"/>
    <cellStyle name="Normal 4 3 3 5 2 3" xfId="12828" xr:uid="{26DADED8-C97A-4F68-A334-34E9BE318B36}"/>
    <cellStyle name="Normal 4 3 3 5 3" xfId="5574" xr:uid="{00000000-0005-0000-0000-0000A1140000}"/>
    <cellStyle name="Normal 4 3 3 5 3 2" xfId="14900" xr:uid="{F06D55A2-3C46-4EB6-A3E6-962C0E12571D}"/>
    <cellStyle name="Normal 4 3 3 5 4" xfId="10683" xr:uid="{094A27DD-7998-4896-B473-14C7F2F3315E}"/>
    <cellStyle name="Normal 4 3 3 6" xfId="1680" xr:uid="{00000000-0005-0000-0000-0000A2140000}"/>
    <cellStyle name="Normal 4 3 3 6 2" xfId="3910" xr:uid="{00000000-0005-0000-0000-0000A3140000}"/>
    <cellStyle name="Normal 4 3 3 6 2 2" xfId="8132" xr:uid="{00000000-0005-0000-0000-0000A4140000}"/>
    <cellStyle name="Normal 4 3 3 6 2 2 2" xfId="17458" xr:uid="{AEB61858-6207-40D8-B8C9-2963C13EEB94}"/>
    <cellStyle name="Normal 4 3 3 6 2 3" xfId="13241" xr:uid="{6A16E02F-049A-42B2-A999-215E01FE2735}"/>
    <cellStyle name="Normal 4 3 3 6 3" xfId="5987" xr:uid="{00000000-0005-0000-0000-0000A5140000}"/>
    <cellStyle name="Normal 4 3 3 6 3 2" xfId="15313" xr:uid="{7DB97E45-0474-4DB7-910D-ABCA03877E2D}"/>
    <cellStyle name="Normal 4 3 3 6 4" xfId="11096" xr:uid="{7356C9E9-F27E-4F7C-AD76-FC3FDBE59D2B}"/>
    <cellStyle name="Normal 4 3 3 7" xfId="2094" xr:uid="{00000000-0005-0000-0000-0000A6140000}"/>
    <cellStyle name="Normal 4 3 3 7 2" xfId="4323" xr:uid="{00000000-0005-0000-0000-0000A7140000}"/>
    <cellStyle name="Normal 4 3 3 7 2 2" xfId="8545" xr:uid="{00000000-0005-0000-0000-0000A8140000}"/>
    <cellStyle name="Normal 4 3 3 7 2 2 2" xfId="17871" xr:uid="{9E3CED63-3D0A-499B-AE0F-C90DF636979E}"/>
    <cellStyle name="Normal 4 3 3 7 2 3" xfId="13654" xr:uid="{99989476-CD37-412B-9B01-D58981B5C789}"/>
    <cellStyle name="Normal 4 3 3 7 3" xfId="6400" xr:uid="{00000000-0005-0000-0000-0000A9140000}"/>
    <cellStyle name="Normal 4 3 3 7 3 2" xfId="15726" xr:uid="{4BFF2CE0-05C6-46A5-95A8-7B318D1CE201}"/>
    <cellStyle name="Normal 4 3 3 7 4" xfId="11509" xr:uid="{FFC5F2A1-3135-4E30-9C06-82808191E01E}"/>
    <cellStyle name="Normal 4 3 3 8" xfId="2530" xr:uid="{00000000-0005-0000-0000-0000AA140000}"/>
    <cellStyle name="Normal 4 3 3 8 2" xfId="6813" xr:uid="{00000000-0005-0000-0000-0000AB140000}"/>
    <cellStyle name="Normal 4 3 3 8 2 2" xfId="16139" xr:uid="{05C3B24A-6458-40AB-A6C7-26047DC1E7E4}"/>
    <cellStyle name="Normal 4 3 3 8 3" xfId="11922" xr:uid="{650612A7-05E2-45C8-95A1-ABA9B364824D}"/>
    <cellStyle name="Normal 4 3 3 9" xfId="4748" xr:uid="{00000000-0005-0000-0000-0000AC140000}"/>
    <cellStyle name="Normal 4 3 3 9 2" xfId="14074" xr:uid="{7AC7D5B8-C6F2-4EB5-BDB7-3FF1ED256616}"/>
    <cellStyle name="Normal 4 3 4" xfId="842" xr:uid="{00000000-0005-0000-0000-0000AD140000}"/>
    <cellStyle name="Normal 4 3 4 2" xfId="3079" xr:uid="{00000000-0005-0000-0000-0000AE140000}"/>
    <cellStyle name="Normal 4 3 4 2 2" xfId="7301" xr:uid="{00000000-0005-0000-0000-0000AF140000}"/>
    <cellStyle name="Normal 4 3 4 2 2 2" xfId="16627" xr:uid="{222B0C1E-2533-41B0-93C9-B4CA27480867}"/>
    <cellStyle name="Normal 4 3 4 2 3" xfId="12410" xr:uid="{0B28D1BB-5D76-4403-A0DF-3E1D311C26B6}"/>
    <cellStyle name="Normal 4 3 4 3" xfId="5156" xr:uid="{00000000-0005-0000-0000-0000B0140000}"/>
    <cellStyle name="Normal 4 3 4 3 2" xfId="14482" xr:uid="{332C05A1-3E8A-43D4-8625-08E972F226AF}"/>
    <cellStyle name="Normal 4 3 4 4" xfId="9608" xr:uid="{C2EFFD2B-01D5-4B2B-BD85-BB4245D6A35E}"/>
    <cellStyle name="Normal 4 3 4 4 2" xfId="18909" xr:uid="{85D3F887-3634-42B5-A577-ABC02AEE504A}"/>
    <cellStyle name="Normal 4 3 4 5" xfId="10265" xr:uid="{666A6470-F5BE-4F06-BCCE-43E214B3BE6C}"/>
    <cellStyle name="Normal 4 3 5" xfId="1262" xr:uid="{00000000-0005-0000-0000-0000B1140000}"/>
    <cellStyle name="Normal 4 3 5 2" xfId="3492" xr:uid="{00000000-0005-0000-0000-0000B2140000}"/>
    <cellStyle name="Normal 4 3 5 2 2" xfId="7714" xr:uid="{00000000-0005-0000-0000-0000B3140000}"/>
    <cellStyle name="Normal 4 3 5 2 2 2" xfId="17040" xr:uid="{23146EF7-2DDA-4432-A503-ABEEA57F49C5}"/>
    <cellStyle name="Normal 4 3 5 2 3" xfId="12823" xr:uid="{DFDF80A5-8D4A-46B6-8702-9934E4B77E6E}"/>
    <cellStyle name="Normal 4 3 5 3" xfId="5569" xr:uid="{00000000-0005-0000-0000-0000B4140000}"/>
    <cellStyle name="Normal 4 3 5 3 2" xfId="14895" xr:uid="{4EC8A599-CE0C-4A0C-BC70-B1E30992D039}"/>
    <cellStyle name="Normal 4 3 5 4" xfId="10678" xr:uid="{112B28CC-C8A7-4217-BFEF-E6078F10B679}"/>
    <cellStyle name="Normal 4 3 6" xfId="1675" xr:uid="{00000000-0005-0000-0000-0000B5140000}"/>
    <cellStyle name="Normal 4 3 6 2" xfId="3905" xr:uid="{00000000-0005-0000-0000-0000B6140000}"/>
    <cellStyle name="Normal 4 3 6 2 2" xfId="8127" xr:uid="{00000000-0005-0000-0000-0000B7140000}"/>
    <cellStyle name="Normal 4 3 6 2 2 2" xfId="17453" xr:uid="{0B875115-CD30-46CD-8958-AA07C7AC0076}"/>
    <cellStyle name="Normal 4 3 6 2 3" xfId="13236" xr:uid="{9241E839-529A-4029-9801-3E95898E3594}"/>
    <cellStyle name="Normal 4 3 6 3" xfId="5982" xr:uid="{00000000-0005-0000-0000-0000B8140000}"/>
    <cellStyle name="Normal 4 3 6 3 2" xfId="15308" xr:uid="{51ABD816-D284-44DA-909C-CCDD3040EEA0}"/>
    <cellStyle name="Normal 4 3 6 4" xfId="11091" xr:uid="{D4123A4E-03A6-4C3F-83EC-A3CB4036F0EA}"/>
    <cellStyle name="Normal 4 3 7" xfId="2089" xr:uid="{00000000-0005-0000-0000-0000B9140000}"/>
    <cellStyle name="Normal 4 3 7 2" xfId="4318" xr:uid="{00000000-0005-0000-0000-0000BA140000}"/>
    <cellStyle name="Normal 4 3 7 2 2" xfId="8540" xr:uid="{00000000-0005-0000-0000-0000BB140000}"/>
    <cellStyle name="Normal 4 3 7 2 2 2" xfId="17866" xr:uid="{3DAC75F1-CED1-4A57-AC1A-5809EBF14828}"/>
    <cellStyle name="Normal 4 3 7 2 3" xfId="13649" xr:uid="{779F4927-6301-4EF5-B750-04C7A811F36A}"/>
    <cellStyle name="Normal 4 3 7 3" xfId="6395" xr:uid="{00000000-0005-0000-0000-0000BC140000}"/>
    <cellStyle name="Normal 4 3 7 3 2" xfId="15721" xr:uid="{08793E49-2156-44E1-A675-D2B3E8818406}"/>
    <cellStyle name="Normal 4 3 7 4" xfId="11504" xr:uid="{628C5C60-A617-437E-B5E5-8280C8171CF7}"/>
    <cellStyle name="Normal 4 3 8" xfId="2525" xr:uid="{00000000-0005-0000-0000-0000BD140000}"/>
    <cellStyle name="Normal 4 3 8 2" xfId="6808" xr:uid="{00000000-0005-0000-0000-0000BE140000}"/>
    <cellStyle name="Normal 4 3 8 2 2" xfId="16134" xr:uid="{EA761FF1-5927-43D3-9927-981BFB2C6C5E}"/>
    <cellStyle name="Normal 4 3 8 3" xfId="11917" xr:uid="{65E59AFA-22DC-469C-BF89-D7E8EBE57CFD}"/>
    <cellStyle name="Normal 4 3 9" xfId="4743" xr:uid="{00000000-0005-0000-0000-0000BF140000}"/>
    <cellStyle name="Normal 4 3 9 2" xfId="14069" xr:uid="{459B83AF-088B-4FAC-94B6-9903FDA5BF63}"/>
    <cellStyle name="Normal 4 4" xfId="378" xr:uid="{00000000-0005-0000-0000-0000C0140000}"/>
    <cellStyle name="Normal 4 4 10" xfId="2534" xr:uid="{00000000-0005-0000-0000-0000C1140000}"/>
    <cellStyle name="Normal 4 4 10 2" xfId="6817" xr:uid="{00000000-0005-0000-0000-0000C2140000}"/>
    <cellStyle name="Normal 4 4 10 2 2" xfId="16143" xr:uid="{A8EE2E5D-C514-45BE-8B02-8E1DD2421A83}"/>
    <cellStyle name="Normal 4 4 10 3" xfId="11926" xr:uid="{7AE3255F-8CB0-44C2-ABCA-C5A34EBC8648}"/>
    <cellStyle name="Normal 4 4 11" xfId="4752" xr:uid="{00000000-0005-0000-0000-0000C3140000}"/>
    <cellStyle name="Normal 4 4 11 2" xfId="14078" xr:uid="{9AB2E499-71E5-42A5-9E3E-9A0CA3D6A8D6}"/>
    <cellStyle name="Normal 4 4 12" xfId="8749" xr:uid="{A91736B6-873D-4B1A-8B29-18DC69E5E65F}"/>
    <cellStyle name="Normal 4 4 12 2" xfId="18073" xr:uid="{D224A291-13D5-4158-AAF7-0A18CD3F9221}"/>
    <cellStyle name="Normal 4 4 13" xfId="9861" xr:uid="{5B0039DD-B60E-4712-9001-4D9EA254327D}"/>
    <cellStyle name="Normal 4 4 2" xfId="379" xr:uid="{00000000-0005-0000-0000-0000C4140000}"/>
    <cellStyle name="Normal 4 4 2 10" xfId="4753" xr:uid="{00000000-0005-0000-0000-0000C5140000}"/>
    <cellStyle name="Normal 4 4 2 10 2" xfId="14079" xr:uid="{52942236-FC38-422C-B621-78D7C2445B7C}"/>
    <cellStyle name="Normal 4 4 2 11" xfId="8781" xr:uid="{12B8F0AD-1EB8-4D0A-9CAD-21DEEFEDAE41}"/>
    <cellStyle name="Normal 4 4 2 11 2" xfId="18105" xr:uid="{EDEE6445-46E7-40EF-BCCA-8C646EF7275B}"/>
    <cellStyle name="Normal 4 4 2 12" xfId="9862" xr:uid="{BBC6F8FC-76C4-46D0-ABE1-F2008D93F16B}"/>
    <cellStyle name="Normal 4 4 2 2" xfId="380" xr:uid="{00000000-0005-0000-0000-0000C6140000}"/>
    <cellStyle name="Normal 4 4 2 2 10" xfId="8824" xr:uid="{FF218EA8-00A9-476B-AA88-FBBBBED2D06B}"/>
    <cellStyle name="Normal 4 4 2 2 10 2" xfId="18148" xr:uid="{534DCE71-F337-4E0B-B794-0FBF867C625E}"/>
    <cellStyle name="Normal 4 4 2 2 11" xfId="9863" xr:uid="{7F4E61A9-39AB-488C-A058-38FF664F545C}"/>
    <cellStyle name="Normal 4 4 2 2 2" xfId="381" xr:uid="{00000000-0005-0000-0000-0000C7140000}"/>
    <cellStyle name="Normal 4 4 2 2 2 10" xfId="9864" xr:uid="{E07BD02A-B630-4256-A978-C43DFA8AD64D}"/>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2 2 2" xfId="16640" xr:uid="{7D4E8DCE-6D42-41D6-944D-37C97A2CD778}"/>
    <cellStyle name="Normal 4 4 2 2 2 2 2 2 3" xfId="12423" xr:uid="{91EFF4DC-79AB-4EB4-8F9E-771B7A9D99EB}"/>
    <cellStyle name="Normal 4 4 2 2 2 2 2 3" xfId="5169" xr:uid="{00000000-0005-0000-0000-0000CC140000}"/>
    <cellStyle name="Normal 4 4 2 2 2 2 2 3 2" xfId="14495" xr:uid="{A00F25FC-445D-4D22-870F-E37AD2ECFB61}"/>
    <cellStyle name="Normal 4 4 2 2 2 2 2 4" xfId="9559" xr:uid="{6E5E886C-D83F-47E6-AD2B-552CC2A98FD0}"/>
    <cellStyle name="Normal 4 4 2 2 2 2 2 4 2" xfId="18874" xr:uid="{25240298-E31D-4F42-9CCC-AEB89A2E064A}"/>
    <cellStyle name="Normal 4 4 2 2 2 2 2 5" xfId="10278" xr:uid="{F95664F7-6602-44E1-856C-6A1CDDAD2883}"/>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2 2 2" xfId="17053" xr:uid="{E57E8A10-D360-4E94-A34F-B1D8867F2869}"/>
    <cellStyle name="Normal 4 4 2 2 2 2 3 2 3" xfId="12836" xr:uid="{ED9A4586-D5E4-49DD-91A7-9AA3B88E6B42}"/>
    <cellStyle name="Normal 4 4 2 2 2 2 3 3" xfId="5582" xr:uid="{00000000-0005-0000-0000-0000D0140000}"/>
    <cellStyle name="Normal 4 4 2 2 2 2 3 3 2" xfId="14908" xr:uid="{3BDD6D4C-FAAE-4C25-ADE6-F0E05DA7E73B}"/>
    <cellStyle name="Normal 4 4 2 2 2 2 3 4" xfId="10691" xr:uid="{9E847C8D-4502-4138-9689-C92E46086E18}"/>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2 2 2" xfId="17466" xr:uid="{C918695B-0345-4C0C-8C7E-61E8EC8FB7EC}"/>
    <cellStyle name="Normal 4 4 2 2 2 2 4 2 3" xfId="13249" xr:uid="{CA9C8EA6-50F4-4DE0-A472-A39EE1A3BBC5}"/>
    <cellStyle name="Normal 4 4 2 2 2 2 4 3" xfId="5995" xr:uid="{00000000-0005-0000-0000-0000D4140000}"/>
    <cellStyle name="Normal 4 4 2 2 2 2 4 3 2" xfId="15321" xr:uid="{EF28D726-FD68-4EBE-8D7D-075A132BA3E5}"/>
    <cellStyle name="Normal 4 4 2 2 2 2 4 4" xfId="11104" xr:uid="{B3557122-5560-487E-A6B4-C14658A19636}"/>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2 2 2" xfId="17879" xr:uid="{11A785C8-8763-4730-A14E-0B332270E4A3}"/>
    <cellStyle name="Normal 4 4 2 2 2 2 5 2 3" xfId="13662" xr:uid="{2F015AF4-2EC3-443E-AABE-10419D207CBB}"/>
    <cellStyle name="Normal 4 4 2 2 2 2 5 3" xfId="6408" xr:uid="{00000000-0005-0000-0000-0000D8140000}"/>
    <cellStyle name="Normal 4 4 2 2 2 2 5 3 2" xfId="15734" xr:uid="{EE1F3A0A-B6B7-4BC3-AB29-9D0EBA75F3C8}"/>
    <cellStyle name="Normal 4 4 2 2 2 2 5 4" xfId="11517" xr:uid="{B1E3150B-5F80-4ED2-81D2-0598DD6B21A7}"/>
    <cellStyle name="Normal 4 4 2 2 2 2 6" xfId="2538" xr:uid="{00000000-0005-0000-0000-0000D9140000}"/>
    <cellStyle name="Normal 4 4 2 2 2 2 6 2" xfId="6821" xr:uid="{00000000-0005-0000-0000-0000DA140000}"/>
    <cellStyle name="Normal 4 4 2 2 2 2 6 2 2" xfId="16147" xr:uid="{298260CC-0EC5-4B92-883A-706605D4A6BC}"/>
    <cellStyle name="Normal 4 4 2 2 2 2 6 3" xfId="11930" xr:uid="{D3E60355-C467-4A89-A6C4-68C7F8DCE7A9}"/>
    <cellStyle name="Normal 4 4 2 2 2 2 7" xfId="4756" xr:uid="{00000000-0005-0000-0000-0000DB140000}"/>
    <cellStyle name="Normal 4 4 2 2 2 2 7 2" xfId="14082" xr:uid="{427755E2-8315-459E-B826-04DD35568B79}"/>
    <cellStyle name="Normal 4 4 2 2 2 2 8" xfId="9134" xr:uid="{B37D4C66-6754-4A5E-BFF7-77694E4355C2}"/>
    <cellStyle name="Normal 4 4 2 2 2 2 8 2" xfId="18458" xr:uid="{CAEF870D-52A7-42FB-9D37-435F0E438855}"/>
    <cellStyle name="Normal 4 4 2 2 2 2 9" xfId="9865" xr:uid="{222B52AF-9BD4-404E-BB77-FB01BA11122A}"/>
    <cellStyle name="Normal 4 4 2 2 2 3" xfId="856" xr:uid="{00000000-0005-0000-0000-0000DC140000}"/>
    <cellStyle name="Normal 4 4 2 2 2 3 2" xfId="3091" xr:uid="{00000000-0005-0000-0000-0000DD140000}"/>
    <cellStyle name="Normal 4 4 2 2 2 3 2 2" xfId="7313" xr:uid="{00000000-0005-0000-0000-0000DE140000}"/>
    <cellStyle name="Normal 4 4 2 2 2 3 2 2 2" xfId="16639" xr:uid="{32378069-E12A-4B8D-81C1-81CD3B41D354}"/>
    <cellStyle name="Normal 4 4 2 2 2 3 2 3" xfId="12422" xr:uid="{E2C1CCFA-FE51-4888-9FD3-47F67779ED69}"/>
    <cellStyle name="Normal 4 4 2 2 2 3 3" xfId="5168" xr:uid="{00000000-0005-0000-0000-0000DF140000}"/>
    <cellStyle name="Normal 4 4 2 2 2 3 3 2" xfId="14494" xr:uid="{BB7DFF49-9570-4DC7-87B8-94243E0BC3D3}"/>
    <cellStyle name="Normal 4 4 2 2 2 3 4" xfId="9352" xr:uid="{76F31DA2-44D0-447F-BA9C-6271BA6AAE96}"/>
    <cellStyle name="Normal 4 4 2 2 2 3 4 2" xfId="18667" xr:uid="{5F7DEDBC-FC42-4B05-9FFA-6A6CE7286F88}"/>
    <cellStyle name="Normal 4 4 2 2 2 3 5" xfId="10277" xr:uid="{E39ABCA8-0A91-49CF-B08E-AA74DF429474}"/>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2 2 2" xfId="17052" xr:uid="{C17B6EDC-449C-4E3B-A9CC-32A53B078227}"/>
    <cellStyle name="Normal 4 4 2 2 2 4 2 3" xfId="12835" xr:uid="{08FC7F87-EAD8-4514-B8CE-A15E117E0DA8}"/>
    <cellStyle name="Normal 4 4 2 2 2 4 3" xfId="5581" xr:uid="{00000000-0005-0000-0000-0000E3140000}"/>
    <cellStyle name="Normal 4 4 2 2 2 4 3 2" xfId="14907" xr:uid="{31206682-5D29-469B-B7AA-26821D4616B1}"/>
    <cellStyle name="Normal 4 4 2 2 2 4 4" xfId="10690" xr:uid="{729D0922-DF72-4EBE-8213-45F344F343EA}"/>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2 2 2" xfId="17465" xr:uid="{75A75FE1-D3A7-49D3-BFAC-33CBB785D3E5}"/>
    <cellStyle name="Normal 4 4 2 2 2 5 2 3" xfId="13248" xr:uid="{9ECB2C7A-16A6-4CA3-A05D-89EBF9126FF8}"/>
    <cellStyle name="Normal 4 4 2 2 2 5 3" xfId="5994" xr:uid="{00000000-0005-0000-0000-0000E7140000}"/>
    <cellStyle name="Normal 4 4 2 2 2 5 3 2" xfId="15320" xr:uid="{42FDCF87-D2E1-4111-899A-6F6F046438EF}"/>
    <cellStyle name="Normal 4 4 2 2 2 5 4" xfId="11103" xr:uid="{F384400B-8E37-4C9A-95AC-6F992FBA9B9B}"/>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2 2 2" xfId="17878" xr:uid="{A975C796-96D5-4390-8D5E-3C9E79B5A8B9}"/>
    <cellStyle name="Normal 4 4 2 2 2 6 2 3" xfId="13661" xr:uid="{525E41E9-85AF-4D38-8916-5A4D7B185240}"/>
    <cellStyle name="Normal 4 4 2 2 2 6 3" xfId="6407" xr:uid="{00000000-0005-0000-0000-0000EB140000}"/>
    <cellStyle name="Normal 4 4 2 2 2 6 3 2" xfId="15733" xr:uid="{AD7DB097-C76B-4576-8A84-6F84A844590C}"/>
    <cellStyle name="Normal 4 4 2 2 2 6 4" xfId="11516" xr:uid="{0DDA4579-4C71-4C1E-857C-E35B0B7CBD1B}"/>
    <cellStyle name="Normal 4 4 2 2 2 7" xfId="2537" xr:uid="{00000000-0005-0000-0000-0000EC140000}"/>
    <cellStyle name="Normal 4 4 2 2 2 7 2" xfId="6820" xr:uid="{00000000-0005-0000-0000-0000ED140000}"/>
    <cellStyle name="Normal 4 4 2 2 2 7 2 2" xfId="16146" xr:uid="{E527F3C8-A21B-426D-8511-3B9DA63D576D}"/>
    <cellStyle name="Normal 4 4 2 2 2 7 3" xfId="11929" xr:uid="{088DD58F-1D28-4EA0-9EEE-736C553EC96D}"/>
    <cellStyle name="Normal 4 4 2 2 2 8" xfId="4755" xr:uid="{00000000-0005-0000-0000-0000EE140000}"/>
    <cellStyle name="Normal 4 4 2 2 2 8 2" xfId="14081" xr:uid="{EF173129-F76C-4C09-BDDD-5650B4DCCCED}"/>
    <cellStyle name="Normal 4 4 2 2 2 9" xfId="8927" xr:uid="{195B9197-F273-4D3B-B7A6-9CBAA360D528}"/>
    <cellStyle name="Normal 4 4 2 2 2 9 2" xfId="18251" xr:uid="{50BDF800-72DF-4F02-AF2F-7D8BE48ED353}"/>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2 2 2" xfId="16641" xr:uid="{F822152F-7C3E-4D55-A95E-3ACC053C1CB1}"/>
    <cellStyle name="Normal 4 4 2 2 3 2 2 3" xfId="12424" xr:uid="{83482504-1BC0-4231-A13C-C94A1254D731}"/>
    <cellStyle name="Normal 4 4 2 2 3 2 3" xfId="5170" xr:uid="{00000000-0005-0000-0000-0000F3140000}"/>
    <cellStyle name="Normal 4 4 2 2 3 2 3 2" xfId="14496" xr:uid="{FE17C991-3917-47F6-81C9-EDCA2DD2F4A0}"/>
    <cellStyle name="Normal 4 4 2 2 3 2 4" xfId="9456" xr:uid="{7CB0B972-68D8-4A2C-A3A7-1D2BD109E44A}"/>
    <cellStyle name="Normal 4 4 2 2 3 2 4 2" xfId="18771" xr:uid="{97F2E36D-EFB0-46CB-8873-9D037D3F77C8}"/>
    <cellStyle name="Normal 4 4 2 2 3 2 5" xfId="10279" xr:uid="{BD497CA8-61D2-4227-8EF4-259A524A19A0}"/>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2 2 2" xfId="17054" xr:uid="{772B3F2A-B1C0-4DF6-A5F9-D83E4DD27638}"/>
    <cellStyle name="Normal 4 4 2 2 3 3 2 3" xfId="12837" xr:uid="{D0D26754-CDE5-46BB-8089-09A26016F714}"/>
    <cellStyle name="Normal 4 4 2 2 3 3 3" xfId="5583" xr:uid="{00000000-0005-0000-0000-0000F7140000}"/>
    <cellStyle name="Normal 4 4 2 2 3 3 3 2" xfId="14909" xr:uid="{2554D1AA-5E39-4B48-8A06-03AB2932A220}"/>
    <cellStyle name="Normal 4 4 2 2 3 3 4" xfId="10692" xr:uid="{D1E9B81A-F0F9-490F-BA8E-6C457C4F8503}"/>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2 2 2" xfId="17467" xr:uid="{57900C8C-8A2A-470B-A767-D221738A8DCE}"/>
    <cellStyle name="Normal 4 4 2 2 3 4 2 3" xfId="13250" xr:uid="{AA2EBB0E-26CD-4E98-B0CB-7CAE9053712B}"/>
    <cellStyle name="Normal 4 4 2 2 3 4 3" xfId="5996" xr:uid="{00000000-0005-0000-0000-0000FB140000}"/>
    <cellStyle name="Normal 4 4 2 2 3 4 3 2" xfId="15322" xr:uid="{22728A36-F3B1-47B1-9FCA-160C52CB666E}"/>
    <cellStyle name="Normal 4 4 2 2 3 4 4" xfId="11105" xr:uid="{8548384C-3A3B-4BED-A445-BCF557867439}"/>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2 2 2" xfId="17880" xr:uid="{2884E31D-84CE-4847-AF2A-E75F8B734847}"/>
    <cellStyle name="Normal 4 4 2 2 3 5 2 3" xfId="13663" xr:uid="{40411D75-6A24-4D89-949F-FAE08BDED941}"/>
    <cellStyle name="Normal 4 4 2 2 3 5 3" xfId="6409" xr:uid="{00000000-0005-0000-0000-0000FF140000}"/>
    <cellStyle name="Normal 4 4 2 2 3 5 3 2" xfId="15735" xr:uid="{5D8CC2EF-999F-4668-9E22-17BA772D6B5B}"/>
    <cellStyle name="Normal 4 4 2 2 3 5 4" xfId="11518" xr:uid="{4E01C4FA-AB8C-4B0B-AF49-1BFCE3D83D42}"/>
    <cellStyle name="Normal 4 4 2 2 3 6" xfId="2539" xr:uid="{00000000-0005-0000-0000-000000150000}"/>
    <cellStyle name="Normal 4 4 2 2 3 6 2" xfId="6822" xr:uid="{00000000-0005-0000-0000-000001150000}"/>
    <cellStyle name="Normal 4 4 2 2 3 6 2 2" xfId="16148" xr:uid="{AEC80686-8A36-4AF2-BD00-6FABA55BD04E}"/>
    <cellStyle name="Normal 4 4 2 2 3 6 3" xfId="11931" xr:uid="{87467DB7-F5C6-45D0-8EFB-CD14D94F2046}"/>
    <cellStyle name="Normal 4 4 2 2 3 7" xfId="4757" xr:uid="{00000000-0005-0000-0000-000002150000}"/>
    <cellStyle name="Normal 4 4 2 2 3 7 2" xfId="14083" xr:uid="{E64045AA-24ED-45D0-A533-9691244D0C42}"/>
    <cellStyle name="Normal 4 4 2 2 3 8" xfId="9031" xr:uid="{F1B59444-328A-4279-8A0A-A9F7E26061D5}"/>
    <cellStyle name="Normal 4 4 2 2 3 8 2" xfId="18355" xr:uid="{6F848F76-3273-4B2C-9EAB-D3F15E8FC3DE}"/>
    <cellStyle name="Normal 4 4 2 2 3 9" xfId="9866" xr:uid="{E9632DF3-8926-44CD-8AEC-16CFBA17D2AC}"/>
    <cellStyle name="Normal 4 4 2 2 4" xfId="855" xr:uid="{00000000-0005-0000-0000-000003150000}"/>
    <cellStyle name="Normal 4 4 2 2 4 2" xfId="3090" xr:uid="{00000000-0005-0000-0000-000004150000}"/>
    <cellStyle name="Normal 4 4 2 2 4 2 2" xfId="7312" xr:uid="{00000000-0005-0000-0000-000005150000}"/>
    <cellStyle name="Normal 4 4 2 2 4 2 2 2" xfId="16638" xr:uid="{E0D6D064-8839-4AFF-BFF6-AD2B8E00DBBC}"/>
    <cellStyle name="Normal 4 4 2 2 4 2 3" xfId="12421" xr:uid="{2D4532A3-3339-4674-9E07-65E44FA521D7}"/>
    <cellStyle name="Normal 4 4 2 2 4 3" xfId="5167" xr:uid="{00000000-0005-0000-0000-000006150000}"/>
    <cellStyle name="Normal 4 4 2 2 4 3 2" xfId="14493" xr:uid="{44EEE1D6-50E5-4D29-A632-DCD2FDFD44B9}"/>
    <cellStyle name="Normal 4 4 2 2 4 4" xfId="9249" xr:uid="{7E4CA7C7-738D-4CFA-907A-40590344548A}"/>
    <cellStyle name="Normal 4 4 2 2 4 4 2" xfId="18564" xr:uid="{91E0B18B-E5A1-4993-B4B1-EFB8BD25742C}"/>
    <cellStyle name="Normal 4 4 2 2 4 5" xfId="10276" xr:uid="{627C85DE-2574-47BF-B17D-28951EB95E3C}"/>
    <cellStyle name="Normal 4 4 2 2 5" xfId="1273" xr:uid="{00000000-0005-0000-0000-000007150000}"/>
    <cellStyle name="Normal 4 4 2 2 5 2" xfId="3503" xr:uid="{00000000-0005-0000-0000-000008150000}"/>
    <cellStyle name="Normal 4 4 2 2 5 2 2" xfId="7725" xr:uid="{00000000-0005-0000-0000-000009150000}"/>
    <cellStyle name="Normal 4 4 2 2 5 2 2 2" xfId="17051" xr:uid="{35C3D5B2-BDDD-468B-AFA7-109446F4AD03}"/>
    <cellStyle name="Normal 4 4 2 2 5 2 3" xfId="12834" xr:uid="{85FD9713-229F-4E74-A602-FF7745170770}"/>
    <cellStyle name="Normal 4 4 2 2 5 3" xfId="5580" xr:uid="{00000000-0005-0000-0000-00000A150000}"/>
    <cellStyle name="Normal 4 4 2 2 5 3 2" xfId="14906" xr:uid="{1ED53CF7-1671-46E1-9601-194027714766}"/>
    <cellStyle name="Normal 4 4 2 2 5 4" xfId="10689" xr:uid="{151E8CF2-A08B-4DFB-A222-E80E9A747DEF}"/>
    <cellStyle name="Normal 4 4 2 2 6" xfId="1686" xr:uid="{00000000-0005-0000-0000-00000B150000}"/>
    <cellStyle name="Normal 4 4 2 2 6 2" xfId="3916" xr:uid="{00000000-0005-0000-0000-00000C150000}"/>
    <cellStyle name="Normal 4 4 2 2 6 2 2" xfId="8138" xr:uid="{00000000-0005-0000-0000-00000D150000}"/>
    <cellStyle name="Normal 4 4 2 2 6 2 2 2" xfId="17464" xr:uid="{86993782-7776-406D-9AD1-DCC67223D12B}"/>
    <cellStyle name="Normal 4 4 2 2 6 2 3" xfId="13247" xr:uid="{4A66E1D5-7913-462D-AD4F-2AEFC0313610}"/>
    <cellStyle name="Normal 4 4 2 2 6 3" xfId="5993" xr:uid="{00000000-0005-0000-0000-00000E150000}"/>
    <cellStyle name="Normal 4 4 2 2 6 3 2" xfId="15319" xr:uid="{8FB7B6D5-836E-4F97-B651-FFB1C8FAD16D}"/>
    <cellStyle name="Normal 4 4 2 2 6 4" xfId="11102" xr:uid="{743204B1-036F-45F6-A982-5E2A74903968}"/>
    <cellStyle name="Normal 4 4 2 2 7" xfId="2100" xr:uid="{00000000-0005-0000-0000-00000F150000}"/>
    <cellStyle name="Normal 4 4 2 2 7 2" xfId="4329" xr:uid="{00000000-0005-0000-0000-000010150000}"/>
    <cellStyle name="Normal 4 4 2 2 7 2 2" xfId="8551" xr:uid="{00000000-0005-0000-0000-000011150000}"/>
    <cellStyle name="Normal 4 4 2 2 7 2 2 2" xfId="17877" xr:uid="{033488B4-8E8F-4D20-A6C3-8CD54858632B}"/>
    <cellStyle name="Normal 4 4 2 2 7 2 3" xfId="13660" xr:uid="{43B55408-3712-4CB1-B9FC-1A0CBAF1472B}"/>
    <cellStyle name="Normal 4 4 2 2 7 3" xfId="6406" xr:uid="{00000000-0005-0000-0000-000012150000}"/>
    <cellStyle name="Normal 4 4 2 2 7 3 2" xfId="15732" xr:uid="{55888FA4-3766-484A-993E-5FDC00C6BE3D}"/>
    <cellStyle name="Normal 4 4 2 2 7 4" xfId="11515" xr:uid="{7F176447-E764-4BD1-8BB4-3088C0B06EE3}"/>
    <cellStyle name="Normal 4 4 2 2 8" xfId="2536" xr:uid="{00000000-0005-0000-0000-000013150000}"/>
    <cellStyle name="Normal 4 4 2 2 8 2" xfId="6819" xr:uid="{00000000-0005-0000-0000-000014150000}"/>
    <cellStyle name="Normal 4 4 2 2 8 2 2" xfId="16145" xr:uid="{A5E1E0C3-C29A-41D4-915F-B03DDC1351A9}"/>
    <cellStyle name="Normal 4 4 2 2 8 3" xfId="11928" xr:uid="{AB6C01D7-9BA6-4A49-AF79-B8FDCD7187DE}"/>
    <cellStyle name="Normal 4 4 2 2 9" xfId="4754" xr:uid="{00000000-0005-0000-0000-000015150000}"/>
    <cellStyle name="Normal 4 4 2 2 9 2" xfId="14080" xr:uid="{8409CE46-4195-4286-A81D-D9FED4AB7326}"/>
    <cellStyle name="Normal 4 4 2 3" xfId="384" xr:uid="{00000000-0005-0000-0000-000016150000}"/>
    <cellStyle name="Normal 4 4 2 3 10" xfId="9867" xr:uid="{46307544-C9DB-473B-B486-2DD2223F60C7}"/>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2 2 2" xfId="16643" xr:uid="{B13622CA-D90F-49AA-BEF4-0D5E5DAAE0FA}"/>
    <cellStyle name="Normal 4 4 2 3 2 2 2 3" xfId="12426" xr:uid="{16484668-2198-4060-9F7A-6B684B5F98DE}"/>
    <cellStyle name="Normal 4 4 2 3 2 2 3" xfId="5172" xr:uid="{00000000-0005-0000-0000-00001B150000}"/>
    <cellStyle name="Normal 4 4 2 3 2 2 3 2" xfId="14498" xr:uid="{85459BF9-0D84-40CD-870E-F2C8149D1434}"/>
    <cellStyle name="Normal 4 4 2 3 2 2 4" xfId="9516" xr:uid="{93008D3B-5827-4778-B167-5B518B5BF56F}"/>
    <cellStyle name="Normal 4 4 2 3 2 2 4 2" xfId="18831" xr:uid="{CC1FD41E-EC09-46FB-A212-C82CC11B8203}"/>
    <cellStyle name="Normal 4 4 2 3 2 2 5" xfId="10281" xr:uid="{312555D7-D1E3-48E6-BE1C-7AF6419015F6}"/>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2 2 2" xfId="17056" xr:uid="{9ACB6D03-D86B-4C4E-97FD-89F2AE7500F8}"/>
    <cellStyle name="Normal 4 4 2 3 2 3 2 3" xfId="12839" xr:uid="{E77B03AF-704C-494B-981D-DC4B23EF1AE0}"/>
    <cellStyle name="Normal 4 4 2 3 2 3 3" xfId="5585" xr:uid="{00000000-0005-0000-0000-00001F150000}"/>
    <cellStyle name="Normal 4 4 2 3 2 3 3 2" xfId="14911" xr:uid="{BD679511-CB96-465D-BCAD-570D634AF695}"/>
    <cellStyle name="Normal 4 4 2 3 2 3 4" xfId="10694" xr:uid="{ACB389F7-7030-464B-B244-EB5863B4AF32}"/>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2 2 2" xfId="17469" xr:uid="{64A2360E-7C0D-4C65-9210-2F41837F49BB}"/>
    <cellStyle name="Normal 4 4 2 3 2 4 2 3" xfId="13252" xr:uid="{3E9BFAFA-237D-451C-A8C7-F3F9047CB5A6}"/>
    <cellStyle name="Normal 4 4 2 3 2 4 3" xfId="5998" xr:uid="{00000000-0005-0000-0000-000023150000}"/>
    <cellStyle name="Normal 4 4 2 3 2 4 3 2" xfId="15324" xr:uid="{E57B03C0-B527-4A0C-965C-31AD764CE70E}"/>
    <cellStyle name="Normal 4 4 2 3 2 4 4" xfId="11107" xr:uid="{3A98C435-CA25-4083-81C3-1739BC40757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2 2 2" xfId="17882" xr:uid="{B7D490FF-0B9A-4903-AE2F-223C30824D2B}"/>
    <cellStyle name="Normal 4 4 2 3 2 5 2 3" xfId="13665" xr:uid="{C37ECABF-E6D3-48D4-A48E-0EA98D5D4F94}"/>
    <cellStyle name="Normal 4 4 2 3 2 5 3" xfId="6411" xr:uid="{00000000-0005-0000-0000-000027150000}"/>
    <cellStyle name="Normal 4 4 2 3 2 5 3 2" xfId="15737" xr:uid="{AFA520B5-80F0-42BF-97D0-3934511D7E55}"/>
    <cellStyle name="Normal 4 4 2 3 2 5 4" xfId="11520" xr:uid="{C6D3894A-F8D2-4931-9DA8-CAAE9C85BCDC}"/>
    <cellStyle name="Normal 4 4 2 3 2 6" xfId="2541" xr:uid="{00000000-0005-0000-0000-000028150000}"/>
    <cellStyle name="Normal 4 4 2 3 2 6 2" xfId="6824" xr:uid="{00000000-0005-0000-0000-000029150000}"/>
    <cellStyle name="Normal 4 4 2 3 2 6 2 2" xfId="16150" xr:uid="{4C1B89D5-168E-494D-B571-48AEC0439AE9}"/>
    <cellStyle name="Normal 4 4 2 3 2 6 3" xfId="11933" xr:uid="{74BE8EE7-6ED3-4B09-A69B-578C66D19AAF}"/>
    <cellStyle name="Normal 4 4 2 3 2 7" xfId="4759" xr:uid="{00000000-0005-0000-0000-00002A150000}"/>
    <cellStyle name="Normal 4 4 2 3 2 7 2" xfId="14085" xr:uid="{A7185A35-76C9-4199-B747-ADC54312A854}"/>
    <cellStyle name="Normal 4 4 2 3 2 8" xfId="9091" xr:uid="{9DBAED0A-05EE-4674-B1B7-8D03DBB53301}"/>
    <cellStyle name="Normal 4 4 2 3 2 8 2" xfId="18415" xr:uid="{692E54CB-6DF8-4F31-9F80-A936DAC3B837}"/>
    <cellStyle name="Normal 4 4 2 3 2 9" xfId="9868" xr:uid="{5821429D-62D3-46C4-AA0B-283DDB0DA89C}"/>
    <cellStyle name="Normal 4 4 2 3 3" xfId="859" xr:uid="{00000000-0005-0000-0000-00002B150000}"/>
    <cellStyle name="Normal 4 4 2 3 3 2" xfId="3094" xr:uid="{00000000-0005-0000-0000-00002C150000}"/>
    <cellStyle name="Normal 4 4 2 3 3 2 2" xfId="7316" xr:uid="{00000000-0005-0000-0000-00002D150000}"/>
    <cellStyle name="Normal 4 4 2 3 3 2 2 2" xfId="16642" xr:uid="{2C0EF627-827F-4E40-95F8-25ED2668FC50}"/>
    <cellStyle name="Normal 4 4 2 3 3 2 3" xfId="12425" xr:uid="{3B561264-9C43-4D9C-BDB5-AF04575F9FCD}"/>
    <cellStyle name="Normal 4 4 2 3 3 3" xfId="5171" xr:uid="{00000000-0005-0000-0000-00002E150000}"/>
    <cellStyle name="Normal 4 4 2 3 3 3 2" xfId="14497" xr:uid="{B4594EE9-FE84-4827-98EE-9C7D5EAAF7FD}"/>
    <cellStyle name="Normal 4 4 2 3 3 4" xfId="9309" xr:uid="{73E912F6-92AF-449E-AE53-1DEDEF686C0F}"/>
    <cellStyle name="Normal 4 4 2 3 3 4 2" xfId="18624" xr:uid="{8E3AB2AF-3511-4E7C-932E-D6679E87AA52}"/>
    <cellStyle name="Normal 4 4 2 3 3 5" xfId="10280" xr:uid="{984D02DE-6B97-42D5-AC79-5A31C230CD19}"/>
    <cellStyle name="Normal 4 4 2 3 4" xfId="1277" xr:uid="{00000000-0005-0000-0000-00002F150000}"/>
    <cellStyle name="Normal 4 4 2 3 4 2" xfId="3507" xr:uid="{00000000-0005-0000-0000-000030150000}"/>
    <cellStyle name="Normal 4 4 2 3 4 2 2" xfId="7729" xr:uid="{00000000-0005-0000-0000-000031150000}"/>
    <cellStyle name="Normal 4 4 2 3 4 2 2 2" xfId="17055" xr:uid="{167B192C-1FFC-4176-9875-C79A56B69E62}"/>
    <cellStyle name="Normal 4 4 2 3 4 2 3" xfId="12838" xr:uid="{748C9F22-BFB9-450F-8DA8-EFA4693C7747}"/>
    <cellStyle name="Normal 4 4 2 3 4 3" xfId="5584" xr:uid="{00000000-0005-0000-0000-000032150000}"/>
    <cellStyle name="Normal 4 4 2 3 4 3 2" xfId="14910" xr:uid="{D105694C-BD09-4629-9299-75C0DF888D7A}"/>
    <cellStyle name="Normal 4 4 2 3 4 4" xfId="10693" xr:uid="{E133B7B7-319F-4932-982E-FB1E57574D19}"/>
    <cellStyle name="Normal 4 4 2 3 5" xfId="1690" xr:uid="{00000000-0005-0000-0000-000033150000}"/>
    <cellStyle name="Normal 4 4 2 3 5 2" xfId="3920" xr:uid="{00000000-0005-0000-0000-000034150000}"/>
    <cellStyle name="Normal 4 4 2 3 5 2 2" xfId="8142" xr:uid="{00000000-0005-0000-0000-000035150000}"/>
    <cellStyle name="Normal 4 4 2 3 5 2 2 2" xfId="17468" xr:uid="{A409E654-76C2-4998-9453-0F9700A7C7AB}"/>
    <cellStyle name="Normal 4 4 2 3 5 2 3" xfId="13251" xr:uid="{194A049B-D5F5-4937-B144-EF12667645A3}"/>
    <cellStyle name="Normal 4 4 2 3 5 3" xfId="5997" xr:uid="{00000000-0005-0000-0000-000036150000}"/>
    <cellStyle name="Normal 4 4 2 3 5 3 2" xfId="15323" xr:uid="{9D5F7901-C52B-4597-AECF-8EE874F536D0}"/>
    <cellStyle name="Normal 4 4 2 3 5 4" xfId="11106" xr:uid="{B7200BF1-E4BC-433F-9038-9AEE3C1F4E04}"/>
    <cellStyle name="Normal 4 4 2 3 6" xfId="2104" xr:uid="{00000000-0005-0000-0000-000037150000}"/>
    <cellStyle name="Normal 4 4 2 3 6 2" xfId="4333" xr:uid="{00000000-0005-0000-0000-000038150000}"/>
    <cellStyle name="Normal 4 4 2 3 6 2 2" xfId="8555" xr:uid="{00000000-0005-0000-0000-000039150000}"/>
    <cellStyle name="Normal 4 4 2 3 6 2 2 2" xfId="17881" xr:uid="{FA7D6676-FB8C-4AEF-9F37-4EA5155F5E95}"/>
    <cellStyle name="Normal 4 4 2 3 6 2 3" xfId="13664" xr:uid="{41DEAB58-8D1A-41D8-8FD9-FD2669B2BDDB}"/>
    <cellStyle name="Normal 4 4 2 3 6 3" xfId="6410" xr:uid="{00000000-0005-0000-0000-00003A150000}"/>
    <cellStyle name="Normal 4 4 2 3 6 3 2" xfId="15736" xr:uid="{022E6309-E73A-4BB3-AB73-0C7A27AAFFF2}"/>
    <cellStyle name="Normal 4 4 2 3 6 4" xfId="11519" xr:uid="{1FCD9712-23A0-4B35-8D1C-26327F0FE848}"/>
    <cellStyle name="Normal 4 4 2 3 7" xfId="2540" xr:uid="{00000000-0005-0000-0000-00003B150000}"/>
    <cellStyle name="Normal 4 4 2 3 7 2" xfId="6823" xr:uid="{00000000-0005-0000-0000-00003C150000}"/>
    <cellStyle name="Normal 4 4 2 3 7 2 2" xfId="16149" xr:uid="{54B9CBE9-A29A-44D3-ABF7-7746DB347912}"/>
    <cellStyle name="Normal 4 4 2 3 7 3" xfId="11932" xr:uid="{EE9D2594-2B28-4FA7-817F-B5DBC2BA80EC}"/>
    <cellStyle name="Normal 4 4 2 3 8" xfId="4758" xr:uid="{00000000-0005-0000-0000-00003D150000}"/>
    <cellStyle name="Normal 4 4 2 3 8 2" xfId="14084" xr:uid="{F2226245-F4BA-4A75-80E1-6BE48B87CF70}"/>
    <cellStyle name="Normal 4 4 2 3 9" xfId="8884" xr:uid="{CBA8CCC0-D2E2-46C8-AC83-39734599F615}"/>
    <cellStyle name="Normal 4 4 2 3 9 2" xfId="18208" xr:uid="{9926D4E7-FAD3-4E45-87D8-628404FDE6E0}"/>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2 2 2" xfId="16644" xr:uid="{E8CB4282-90FB-4F86-8205-384C45CC3BED}"/>
    <cellStyle name="Normal 4 4 2 4 2 2 3" xfId="12427" xr:uid="{551DB670-B6F0-4DC4-BD5A-A7467D2758DE}"/>
    <cellStyle name="Normal 4 4 2 4 2 3" xfId="5173" xr:uid="{00000000-0005-0000-0000-000042150000}"/>
    <cellStyle name="Normal 4 4 2 4 2 3 2" xfId="14499" xr:uid="{92145915-3EB8-4226-AB06-DCFDE4BDF934}"/>
    <cellStyle name="Normal 4 4 2 4 2 4" xfId="9413" xr:uid="{4DC092EA-7C69-4E02-9FE8-33F62D070F54}"/>
    <cellStyle name="Normal 4 4 2 4 2 4 2" xfId="18728" xr:uid="{931B72E1-B8EB-457C-88AA-F2F6F6D35F43}"/>
    <cellStyle name="Normal 4 4 2 4 2 5" xfId="10282" xr:uid="{7875A3A3-EFC3-4D56-AC7D-21CF34260267}"/>
    <cellStyle name="Normal 4 4 2 4 3" xfId="1279" xr:uid="{00000000-0005-0000-0000-000043150000}"/>
    <cellStyle name="Normal 4 4 2 4 3 2" xfId="3509" xr:uid="{00000000-0005-0000-0000-000044150000}"/>
    <cellStyle name="Normal 4 4 2 4 3 2 2" xfId="7731" xr:uid="{00000000-0005-0000-0000-000045150000}"/>
    <cellStyle name="Normal 4 4 2 4 3 2 2 2" xfId="17057" xr:uid="{98254587-E14B-4C0E-9945-E2D8F4D00AE9}"/>
    <cellStyle name="Normal 4 4 2 4 3 2 3" xfId="12840" xr:uid="{0D06F85D-8E0B-4C59-B6D3-8A1A02991C57}"/>
    <cellStyle name="Normal 4 4 2 4 3 3" xfId="5586" xr:uid="{00000000-0005-0000-0000-000046150000}"/>
    <cellStyle name="Normal 4 4 2 4 3 3 2" xfId="14912" xr:uid="{94518754-DEED-4BC5-BFBA-7E6765C07172}"/>
    <cellStyle name="Normal 4 4 2 4 3 4" xfId="10695" xr:uid="{451338C0-3D39-41A8-B499-0EB3854390F1}"/>
    <cellStyle name="Normal 4 4 2 4 4" xfId="1692" xr:uid="{00000000-0005-0000-0000-000047150000}"/>
    <cellStyle name="Normal 4 4 2 4 4 2" xfId="3922" xr:uid="{00000000-0005-0000-0000-000048150000}"/>
    <cellStyle name="Normal 4 4 2 4 4 2 2" xfId="8144" xr:uid="{00000000-0005-0000-0000-000049150000}"/>
    <cellStyle name="Normal 4 4 2 4 4 2 2 2" xfId="17470" xr:uid="{087BDF06-5A07-4170-BA6F-7F0A4C339078}"/>
    <cellStyle name="Normal 4 4 2 4 4 2 3" xfId="13253" xr:uid="{9E39740B-F96F-4B14-886C-F7C22B9DB65F}"/>
    <cellStyle name="Normal 4 4 2 4 4 3" xfId="5999" xr:uid="{00000000-0005-0000-0000-00004A150000}"/>
    <cellStyle name="Normal 4 4 2 4 4 3 2" xfId="15325" xr:uid="{E2B73DA0-E328-4493-8ABC-9642E44E405B}"/>
    <cellStyle name="Normal 4 4 2 4 4 4" xfId="11108" xr:uid="{AE501151-022C-4315-8670-1289FE6C7C78}"/>
    <cellStyle name="Normal 4 4 2 4 5" xfId="2106" xr:uid="{00000000-0005-0000-0000-00004B150000}"/>
    <cellStyle name="Normal 4 4 2 4 5 2" xfId="4335" xr:uid="{00000000-0005-0000-0000-00004C150000}"/>
    <cellStyle name="Normal 4 4 2 4 5 2 2" xfId="8557" xr:uid="{00000000-0005-0000-0000-00004D150000}"/>
    <cellStyle name="Normal 4 4 2 4 5 2 2 2" xfId="17883" xr:uid="{FC7ED0FE-BC5F-4919-95FD-6C7253C66FCF}"/>
    <cellStyle name="Normal 4 4 2 4 5 2 3" xfId="13666" xr:uid="{2EB0392C-D118-45B0-9DB1-AD1A6B521AD7}"/>
    <cellStyle name="Normal 4 4 2 4 5 3" xfId="6412" xr:uid="{00000000-0005-0000-0000-00004E150000}"/>
    <cellStyle name="Normal 4 4 2 4 5 3 2" xfId="15738" xr:uid="{02A1A8A9-EEB4-4C1B-A8C8-F62A1E73F642}"/>
    <cellStyle name="Normal 4 4 2 4 5 4" xfId="11521" xr:uid="{248C89FF-D73B-4203-9DA3-35CAF95B5BDF}"/>
    <cellStyle name="Normal 4 4 2 4 6" xfId="2542" xr:uid="{00000000-0005-0000-0000-00004F150000}"/>
    <cellStyle name="Normal 4 4 2 4 6 2" xfId="6825" xr:uid="{00000000-0005-0000-0000-000050150000}"/>
    <cellStyle name="Normal 4 4 2 4 6 2 2" xfId="16151" xr:uid="{892ECC89-3C53-4C7B-B3CE-044B8F6C99CB}"/>
    <cellStyle name="Normal 4 4 2 4 6 3" xfId="11934" xr:uid="{01B6948A-776E-43F5-BFF4-B19BAF91DA8C}"/>
    <cellStyle name="Normal 4 4 2 4 7" xfId="4760" xr:uid="{00000000-0005-0000-0000-000051150000}"/>
    <cellStyle name="Normal 4 4 2 4 7 2" xfId="14086" xr:uid="{BEE8B19F-0B29-40B3-A766-0212F3A65D67}"/>
    <cellStyle name="Normal 4 4 2 4 8" xfId="8988" xr:uid="{F852E7B0-7ACD-4401-B3B6-BE989A5C8AD5}"/>
    <cellStyle name="Normal 4 4 2 4 8 2" xfId="18312" xr:uid="{9229C5CF-C1B5-47F5-AB2E-74C4B6173E85}"/>
    <cellStyle name="Normal 4 4 2 4 9" xfId="9869" xr:uid="{70CDD815-2D69-4F45-A429-2B6559E79B55}"/>
    <cellStyle name="Normal 4 4 2 5" xfId="854" xr:uid="{00000000-0005-0000-0000-000052150000}"/>
    <cellStyle name="Normal 4 4 2 5 2" xfId="3089" xr:uid="{00000000-0005-0000-0000-000053150000}"/>
    <cellStyle name="Normal 4 4 2 5 2 2" xfId="7311" xr:uid="{00000000-0005-0000-0000-000054150000}"/>
    <cellStyle name="Normal 4 4 2 5 2 2 2" xfId="16637" xr:uid="{E2EBEDB5-BA53-4EA0-B5BD-968E3217D236}"/>
    <cellStyle name="Normal 4 4 2 5 2 3" xfId="12420" xr:uid="{2FC35E40-528B-4A57-9281-853EB26E3A6E}"/>
    <cellStyle name="Normal 4 4 2 5 3" xfId="5166" xr:uid="{00000000-0005-0000-0000-000055150000}"/>
    <cellStyle name="Normal 4 4 2 5 3 2" xfId="14492" xr:uid="{273A5E94-0C63-4A18-B29F-ECC133A18A7E}"/>
    <cellStyle name="Normal 4 4 2 5 4" xfId="9205" xr:uid="{A63DE01D-3EC8-40FC-A47E-E0EA001EED52}"/>
    <cellStyle name="Normal 4 4 2 5 4 2" xfId="18521" xr:uid="{768D773A-4D5B-4F10-8BE7-059116306C6D}"/>
    <cellStyle name="Normal 4 4 2 5 5" xfId="10275" xr:uid="{57348501-8219-4D08-B9E8-2B1D56B9EAE5}"/>
    <cellStyle name="Normal 4 4 2 6" xfId="1272" xr:uid="{00000000-0005-0000-0000-000056150000}"/>
    <cellStyle name="Normal 4 4 2 6 2" xfId="3502" xr:uid="{00000000-0005-0000-0000-000057150000}"/>
    <cellStyle name="Normal 4 4 2 6 2 2" xfId="7724" xr:uid="{00000000-0005-0000-0000-000058150000}"/>
    <cellStyle name="Normal 4 4 2 6 2 2 2" xfId="17050" xr:uid="{6DE8C7CF-C6BC-44BE-86B1-62CF9E4B55A4}"/>
    <cellStyle name="Normal 4 4 2 6 2 3" xfId="12833" xr:uid="{ABB64B7B-E2F2-49B9-BA75-B781B1A4C223}"/>
    <cellStyle name="Normal 4 4 2 6 3" xfId="5579" xr:uid="{00000000-0005-0000-0000-000059150000}"/>
    <cellStyle name="Normal 4 4 2 6 3 2" xfId="14905" xr:uid="{D5DBD4B6-E32A-4094-A8DC-C6126682E3F2}"/>
    <cellStyle name="Normal 4 4 2 6 4" xfId="10688" xr:uid="{26C16E7E-CC0B-427D-8237-31746413A4CD}"/>
    <cellStyle name="Normal 4 4 2 7" xfId="1685" xr:uid="{00000000-0005-0000-0000-00005A150000}"/>
    <cellStyle name="Normal 4 4 2 7 2" xfId="3915" xr:uid="{00000000-0005-0000-0000-00005B150000}"/>
    <cellStyle name="Normal 4 4 2 7 2 2" xfId="8137" xr:uid="{00000000-0005-0000-0000-00005C150000}"/>
    <cellStyle name="Normal 4 4 2 7 2 2 2" xfId="17463" xr:uid="{5C359EDC-7CD2-4DDA-98A8-234A4EC025B5}"/>
    <cellStyle name="Normal 4 4 2 7 2 3" xfId="13246" xr:uid="{946D7697-5C99-457A-8FCB-11177DD77C66}"/>
    <cellStyle name="Normal 4 4 2 7 3" xfId="5992" xr:uid="{00000000-0005-0000-0000-00005D150000}"/>
    <cellStyle name="Normal 4 4 2 7 3 2" xfId="15318" xr:uid="{63233C92-E8A7-4E5E-B3EF-28F09FB3A7A6}"/>
    <cellStyle name="Normal 4 4 2 7 4" xfId="11101" xr:uid="{18070610-B59E-4512-9596-7F80D05A4151}"/>
    <cellStyle name="Normal 4 4 2 8" xfId="2099" xr:uid="{00000000-0005-0000-0000-00005E150000}"/>
    <cellStyle name="Normal 4 4 2 8 2" xfId="4328" xr:uid="{00000000-0005-0000-0000-00005F150000}"/>
    <cellStyle name="Normal 4 4 2 8 2 2" xfId="8550" xr:uid="{00000000-0005-0000-0000-000060150000}"/>
    <cellStyle name="Normal 4 4 2 8 2 2 2" xfId="17876" xr:uid="{F342C4DD-7E6E-4FC7-B754-2A4D9EA55627}"/>
    <cellStyle name="Normal 4 4 2 8 2 3" xfId="13659" xr:uid="{595599BF-BE08-45CE-817D-A186AD050A61}"/>
    <cellStyle name="Normal 4 4 2 8 3" xfId="6405" xr:uid="{00000000-0005-0000-0000-000061150000}"/>
    <cellStyle name="Normal 4 4 2 8 3 2" xfId="15731" xr:uid="{F38615FB-F8AA-48CE-94F2-F401896C6D08}"/>
    <cellStyle name="Normal 4 4 2 8 4" xfId="11514" xr:uid="{76A37991-2362-4A5E-BD47-A3ADE5B7FF6D}"/>
    <cellStyle name="Normal 4 4 2 9" xfId="2535" xr:uid="{00000000-0005-0000-0000-000062150000}"/>
    <cellStyle name="Normal 4 4 2 9 2" xfId="6818" xr:uid="{00000000-0005-0000-0000-000063150000}"/>
    <cellStyle name="Normal 4 4 2 9 2 2" xfId="16144" xr:uid="{8B6A3401-4984-466C-B292-DD97EF78E237}"/>
    <cellStyle name="Normal 4 4 2 9 3" xfId="11927" xr:uid="{9DBD1B60-A22F-4D75-8804-98A67FD3F0F0}"/>
    <cellStyle name="Normal 4 4 3" xfId="387" xr:uid="{00000000-0005-0000-0000-000064150000}"/>
    <cellStyle name="Normal 4 4 3 10" xfId="8823" xr:uid="{E623F102-F69B-4FD0-BEDA-A1480AF4D892}"/>
    <cellStyle name="Normal 4 4 3 10 2" xfId="18147" xr:uid="{E54838C0-BF0A-4FA7-A2E7-9F34552CD84E}"/>
    <cellStyle name="Normal 4 4 3 11" xfId="9870" xr:uid="{8334CBAE-A5C2-4135-9272-718AACF91F20}"/>
    <cellStyle name="Normal 4 4 3 2" xfId="388" xr:uid="{00000000-0005-0000-0000-000065150000}"/>
    <cellStyle name="Normal 4 4 3 2 10" xfId="9871" xr:uid="{87908000-8378-4E63-B069-8FF83D16C16E}"/>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2 2 2" xfId="16647" xr:uid="{D1B5F684-FFB2-4DBC-8642-8E57E74F10BC}"/>
    <cellStyle name="Normal 4 4 3 2 2 2 2 3" xfId="12430" xr:uid="{D50DD230-626C-4468-B4D0-186904747AA6}"/>
    <cellStyle name="Normal 4 4 3 2 2 2 3" xfId="5176" xr:uid="{00000000-0005-0000-0000-00006A150000}"/>
    <cellStyle name="Normal 4 4 3 2 2 2 3 2" xfId="14502" xr:uid="{55E1F314-B8F8-4BEC-9907-5B5A7EF47B07}"/>
    <cellStyle name="Normal 4 4 3 2 2 2 4" xfId="9558" xr:uid="{8C9519E6-5920-473D-9749-EC61E4877632}"/>
    <cellStyle name="Normal 4 4 3 2 2 2 4 2" xfId="18873" xr:uid="{77D24070-3FA7-468C-B661-B29D65CEC624}"/>
    <cellStyle name="Normal 4 4 3 2 2 2 5" xfId="10285" xr:uid="{9C37E046-4053-405E-A102-FE2A00685CC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2 2 2" xfId="17060" xr:uid="{CE4AC30C-80E0-4AF6-AE13-3E9F98D2E34C}"/>
    <cellStyle name="Normal 4 4 3 2 2 3 2 3" xfId="12843" xr:uid="{63F3EBC9-154F-4DA0-AF80-AADB523F6BC0}"/>
    <cellStyle name="Normal 4 4 3 2 2 3 3" xfId="5589" xr:uid="{00000000-0005-0000-0000-00006E150000}"/>
    <cellStyle name="Normal 4 4 3 2 2 3 3 2" xfId="14915" xr:uid="{4BBF3359-24C3-48B8-8F26-8611EE0EC839}"/>
    <cellStyle name="Normal 4 4 3 2 2 3 4" xfId="10698" xr:uid="{E9D30963-097B-47B7-B374-A2F7B7DEEAFE}"/>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2 2 2" xfId="17473" xr:uid="{38ADA1D6-084A-4481-95B7-C8F0D0B41B93}"/>
    <cellStyle name="Normal 4 4 3 2 2 4 2 3" xfId="13256" xr:uid="{B2377C83-9C58-4D89-B35A-897E3F2AA9AD}"/>
    <cellStyle name="Normal 4 4 3 2 2 4 3" xfId="6002" xr:uid="{00000000-0005-0000-0000-000072150000}"/>
    <cellStyle name="Normal 4 4 3 2 2 4 3 2" xfId="15328" xr:uid="{5D7CEE97-B22E-4C5B-BF94-560C8AAB8D19}"/>
    <cellStyle name="Normal 4 4 3 2 2 4 4" xfId="11111" xr:uid="{1A06A882-1F52-409F-AFD5-0F6EAD56A54E}"/>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2 2 2" xfId="17886" xr:uid="{63DEA101-30F8-44EE-96F1-2811771CDE1D}"/>
    <cellStyle name="Normal 4 4 3 2 2 5 2 3" xfId="13669" xr:uid="{6F319479-B62D-4113-88BF-C3A3642B4BF7}"/>
    <cellStyle name="Normal 4 4 3 2 2 5 3" xfId="6415" xr:uid="{00000000-0005-0000-0000-000076150000}"/>
    <cellStyle name="Normal 4 4 3 2 2 5 3 2" xfId="15741" xr:uid="{621C4013-784C-4204-A355-5C84F4CFCF64}"/>
    <cellStyle name="Normal 4 4 3 2 2 5 4" xfId="11524" xr:uid="{3C5A59AC-1FED-455A-BF49-AE4AB8AE5288}"/>
    <cellStyle name="Normal 4 4 3 2 2 6" xfId="2545" xr:uid="{00000000-0005-0000-0000-000077150000}"/>
    <cellStyle name="Normal 4 4 3 2 2 6 2" xfId="6828" xr:uid="{00000000-0005-0000-0000-000078150000}"/>
    <cellStyle name="Normal 4 4 3 2 2 6 2 2" xfId="16154" xr:uid="{AFD8871F-F6BB-4B68-AAB0-75C425472B5A}"/>
    <cellStyle name="Normal 4 4 3 2 2 6 3" xfId="11937" xr:uid="{5F9BE500-214C-4B0F-9D2B-A71C4938AC2B}"/>
    <cellStyle name="Normal 4 4 3 2 2 7" xfId="4763" xr:uid="{00000000-0005-0000-0000-000079150000}"/>
    <cellStyle name="Normal 4 4 3 2 2 7 2" xfId="14089" xr:uid="{C6FA3B28-38C2-4C47-AF73-B549E528CDF6}"/>
    <cellStyle name="Normal 4 4 3 2 2 8" xfId="9133" xr:uid="{37002A66-D58A-4EF9-8D22-8F1A3EE99E08}"/>
    <cellStyle name="Normal 4 4 3 2 2 8 2" xfId="18457" xr:uid="{4B7885C1-5DD9-448D-989E-3EC7D5F218D0}"/>
    <cellStyle name="Normal 4 4 3 2 2 9" xfId="9872" xr:uid="{E2AE3A39-2DC9-4371-B4E0-E0435143E0E8}"/>
    <cellStyle name="Normal 4 4 3 2 3" xfId="863" xr:uid="{00000000-0005-0000-0000-00007A150000}"/>
    <cellStyle name="Normal 4 4 3 2 3 2" xfId="3098" xr:uid="{00000000-0005-0000-0000-00007B150000}"/>
    <cellStyle name="Normal 4 4 3 2 3 2 2" xfId="7320" xr:uid="{00000000-0005-0000-0000-00007C150000}"/>
    <cellStyle name="Normal 4 4 3 2 3 2 2 2" xfId="16646" xr:uid="{61F9FBE8-AD05-43ED-B0BC-7AF60E0E8258}"/>
    <cellStyle name="Normal 4 4 3 2 3 2 3" xfId="12429" xr:uid="{A2BF5281-B7A3-4B1E-A63C-8F86EC0B0127}"/>
    <cellStyle name="Normal 4 4 3 2 3 3" xfId="5175" xr:uid="{00000000-0005-0000-0000-00007D150000}"/>
    <cellStyle name="Normal 4 4 3 2 3 3 2" xfId="14501" xr:uid="{10DCE5C1-DD9B-4D33-87B5-A60D332C9530}"/>
    <cellStyle name="Normal 4 4 3 2 3 4" xfId="9351" xr:uid="{51AD2B95-755A-411D-AA40-98381F5D8294}"/>
    <cellStyle name="Normal 4 4 3 2 3 4 2" xfId="18666" xr:uid="{8B5BFD6A-02C1-4E6F-A765-1AF824E4A078}"/>
    <cellStyle name="Normal 4 4 3 2 3 5" xfId="10284" xr:uid="{03B664E1-3219-4D75-B5AA-E4A52BB83764}"/>
    <cellStyle name="Normal 4 4 3 2 4" xfId="1281" xr:uid="{00000000-0005-0000-0000-00007E150000}"/>
    <cellStyle name="Normal 4 4 3 2 4 2" xfId="3511" xr:uid="{00000000-0005-0000-0000-00007F150000}"/>
    <cellStyle name="Normal 4 4 3 2 4 2 2" xfId="7733" xr:uid="{00000000-0005-0000-0000-000080150000}"/>
    <cellStyle name="Normal 4 4 3 2 4 2 2 2" xfId="17059" xr:uid="{1A060FF6-091E-46E6-8B3E-AF58A90CD339}"/>
    <cellStyle name="Normal 4 4 3 2 4 2 3" xfId="12842" xr:uid="{D6A9BF43-1700-44C1-B11B-2A4A3E6DC858}"/>
    <cellStyle name="Normal 4 4 3 2 4 3" xfId="5588" xr:uid="{00000000-0005-0000-0000-000081150000}"/>
    <cellStyle name="Normal 4 4 3 2 4 3 2" xfId="14914" xr:uid="{F7F30721-FB96-4FD3-87A6-E497D2AC5EB4}"/>
    <cellStyle name="Normal 4 4 3 2 4 4" xfId="10697" xr:uid="{F46ED796-29AA-4053-9F38-8B0C50500515}"/>
    <cellStyle name="Normal 4 4 3 2 5" xfId="1694" xr:uid="{00000000-0005-0000-0000-000082150000}"/>
    <cellStyle name="Normal 4 4 3 2 5 2" xfId="3924" xr:uid="{00000000-0005-0000-0000-000083150000}"/>
    <cellStyle name="Normal 4 4 3 2 5 2 2" xfId="8146" xr:uid="{00000000-0005-0000-0000-000084150000}"/>
    <cellStyle name="Normal 4 4 3 2 5 2 2 2" xfId="17472" xr:uid="{BE637F30-A55B-46B9-830D-98B21B6187DB}"/>
    <cellStyle name="Normal 4 4 3 2 5 2 3" xfId="13255" xr:uid="{0B9A1460-8E35-4177-A7A1-42658199C51E}"/>
    <cellStyle name="Normal 4 4 3 2 5 3" xfId="6001" xr:uid="{00000000-0005-0000-0000-000085150000}"/>
    <cellStyle name="Normal 4 4 3 2 5 3 2" xfId="15327" xr:uid="{B2111FEB-1955-4C4D-B640-3B28836F92BE}"/>
    <cellStyle name="Normal 4 4 3 2 5 4" xfId="11110" xr:uid="{3EC3DDEB-899B-4495-88E0-81505C81B966}"/>
    <cellStyle name="Normal 4 4 3 2 6" xfId="2108" xr:uid="{00000000-0005-0000-0000-000086150000}"/>
    <cellStyle name="Normal 4 4 3 2 6 2" xfId="4337" xr:uid="{00000000-0005-0000-0000-000087150000}"/>
    <cellStyle name="Normal 4 4 3 2 6 2 2" xfId="8559" xr:uid="{00000000-0005-0000-0000-000088150000}"/>
    <cellStyle name="Normal 4 4 3 2 6 2 2 2" xfId="17885" xr:uid="{3694A197-77BB-42E1-8014-B37C10E48842}"/>
    <cellStyle name="Normal 4 4 3 2 6 2 3" xfId="13668" xr:uid="{B881BD70-77AC-44EE-829D-A68B7FEDB889}"/>
    <cellStyle name="Normal 4 4 3 2 6 3" xfId="6414" xr:uid="{00000000-0005-0000-0000-000089150000}"/>
    <cellStyle name="Normal 4 4 3 2 6 3 2" xfId="15740" xr:uid="{BD4BA11B-8A13-4B8C-BB85-EC8E82E7AE95}"/>
    <cellStyle name="Normal 4 4 3 2 6 4" xfId="11523" xr:uid="{0D2B0B5D-3928-4338-932F-75F45BDEBF0D}"/>
    <cellStyle name="Normal 4 4 3 2 7" xfId="2544" xr:uid="{00000000-0005-0000-0000-00008A150000}"/>
    <cellStyle name="Normal 4 4 3 2 7 2" xfId="6827" xr:uid="{00000000-0005-0000-0000-00008B150000}"/>
    <cellStyle name="Normal 4 4 3 2 7 2 2" xfId="16153" xr:uid="{6811E190-C500-44A5-8114-183147C3B8B6}"/>
    <cellStyle name="Normal 4 4 3 2 7 3" xfId="11936" xr:uid="{18EF97D4-C7C0-435C-85D1-742E12C46F60}"/>
    <cellStyle name="Normal 4 4 3 2 8" xfId="4762" xr:uid="{00000000-0005-0000-0000-00008C150000}"/>
    <cellStyle name="Normal 4 4 3 2 8 2" xfId="14088" xr:uid="{1CEE23CA-C78B-4A60-9FB8-FBE0938C16E9}"/>
    <cellStyle name="Normal 4 4 3 2 9" xfId="8926" xr:uid="{821D1F47-EF8D-4C64-BA70-5606A81A57B5}"/>
    <cellStyle name="Normal 4 4 3 2 9 2" xfId="18250" xr:uid="{A5732931-EFE8-47D1-8D3D-F81507AB5209}"/>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2 2 2" xfId="16648" xr:uid="{A5732F6A-9D6A-446C-B1A7-B245E36A4F24}"/>
    <cellStyle name="Normal 4 4 3 3 2 2 3" xfId="12431" xr:uid="{C22D161D-BD27-4956-AE9B-7FB119BDA485}"/>
    <cellStyle name="Normal 4 4 3 3 2 3" xfId="5177" xr:uid="{00000000-0005-0000-0000-000091150000}"/>
    <cellStyle name="Normal 4 4 3 3 2 3 2" xfId="14503" xr:uid="{561EB57F-26EB-43BC-A864-D4E61BFFA576}"/>
    <cellStyle name="Normal 4 4 3 3 2 4" xfId="9455" xr:uid="{E39EB3A2-D99A-426C-AFEC-E4C90C85BE02}"/>
    <cellStyle name="Normal 4 4 3 3 2 4 2" xfId="18770" xr:uid="{14AA7311-2650-41A6-8499-1DD11936E751}"/>
    <cellStyle name="Normal 4 4 3 3 2 5" xfId="10286" xr:uid="{0A2CE526-EE17-49FE-86B2-B247C5C816CB}"/>
    <cellStyle name="Normal 4 4 3 3 3" xfId="1283" xr:uid="{00000000-0005-0000-0000-000092150000}"/>
    <cellStyle name="Normal 4 4 3 3 3 2" xfId="3513" xr:uid="{00000000-0005-0000-0000-000093150000}"/>
    <cellStyle name="Normal 4 4 3 3 3 2 2" xfId="7735" xr:uid="{00000000-0005-0000-0000-000094150000}"/>
    <cellStyle name="Normal 4 4 3 3 3 2 2 2" xfId="17061" xr:uid="{DCBDFC55-8C2C-4001-9505-24F12CB49EC8}"/>
    <cellStyle name="Normal 4 4 3 3 3 2 3" xfId="12844" xr:uid="{3C464998-B1A7-4E4A-B468-015DE6D6E565}"/>
    <cellStyle name="Normal 4 4 3 3 3 3" xfId="5590" xr:uid="{00000000-0005-0000-0000-000095150000}"/>
    <cellStyle name="Normal 4 4 3 3 3 3 2" xfId="14916" xr:uid="{5333F6FF-EEEE-4ACB-9A27-5D78589C7460}"/>
    <cellStyle name="Normal 4 4 3 3 3 4" xfId="10699" xr:uid="{478BA851-29BF-4A99-8BA8-34C6BBA2E8A7}"/>
    <cellStyle name="Normal 4 4 3 3 4" xfId="1696" xr:uid="{00000000-0005-0000-0000-000096150000}"/>
    <cellStyle name="Normal 4 4 3 3 4 2" xfId="3926" xr:uid="{00000000-0005-0000-0000-000097150000}"/>
    <cellStyle name="Normal 4 4 3 3 4 2 2" xfId="8148" xr:uid="{00000000-0005-0000-0000-000098150000}"/>
    <cellStyle name="Normal 4 4 3 3 4 2 2 2" xfId="17474" xr:uid="{41C1F875-60E9-4666-AEE3-22D9223F166E}"/>
    <cellStyle name="Normal 4 4 3 3 4 2 3" xfId="13257" xr:uid="{C177401D-120F-44A1-82D0-9BDC0A351280}"/>
    <cellStyle name="Normal 4 4 3 3 4 3" xfId="6003" xr:uid="{00000000-0005-0000-0000-000099150000}"/>
    <cellStyle name="Normal 4 4 3 3 4 3 2" xfId="15329" xr:uid="{424648D1-32B3-4423-BB55-15DEBBA584DC}"/>
    <cellStyle name="Normal 4 4 3 3 4 4" xfId="11112" xr:uid="{A3EC7321-4AC1-411F-A525-329C8737F90B}"/>
    <cellStyle name="Normal 4 4 3 3 5" xfId="2110" xr:uid="{00000000-0005-0000-0000-00009A150000}"/>
    <cellStyle name="Normal 4 4 3 3 5 2" xfId="4339" xr:uid="{00000000-0005-0000-0000-00009B150000}"/>
    <cellStyle name="Normal 4 4 3 3 5 2 2" xfId="8561" xr:uid="{00000000-0005-0000-0000-00009C150000}"/>
    <cellStyle name="Normal 4 4 3 3 5 2 2 2" xfId="17887" xr:uid="{AC766B6C-B964-4A64-BC0D-B816DD4CF3A3}"/>
    <cellStyle name="Normal 4 4 3 3 5 2 3" xfId="13670" xr:uid="{252896B9-54FB-46A6-A146-66F1008CFD8E}"/>
    <cellStyle name="Normal 4 4 3 3 5 3" xfId="6416" xr:uid="{00000000-0005-0000-0000-00009D150000}"/>
    <cellStyle name="Normal 4 4 3 3 5 3 2" xfId="15742" xr:uid="{85B07525-EB27-4414-8E41-44C9F8FAA1B2}"/>
    <cellStyle name="Normal 4 4 3 3 5 4" xfId="11525" xr:uid="{97CF75B3-C582-447A-A55A-D81EAEA4763F}"/>
    <cellStyle name="Normal 4 4 3 3 6" xfId="2546" xr:uid="{00000000-0005-0000-0000-00009E150000}"/>
    <cellStyle name="Normal 4 4 3 3 6 2" xfId="6829" xr:uid="{00000000-0005-0000-0000-00009F150000}"/>
    <cellStyle name="Normal 4 4 3 3 6 2 2" xfId="16155" xr:uid="{FD507CEF-3986-465C-9C04-B83BF1D69B97}"/>
    <cellStyle name="Normal 4 4 3 3 6 3" xfId="11938" xr:uid="{DB715616-C118-471F-AB72-C22DF80F9C11}"/>
    <cellStyle name="Normal 4 4 3 3 7" xfId="4764" xr:uid="{00000000-0005-0000-0000-0000A0150000}"/>
    <cellStyle name="Normal 4 4 3 3 7 2" xfId="14090" xr:uid="{9CFF7415-1557-4BC7-9386-BB6892C56B8F}"/>
    <cellStyle name="Normal 4 4 3 3 8" xfId="9030" xr:uid="{F975DAAD-4546-4770-9976-5C5C66DA227B}"/>
    <cellStyle name="Normal 4 4 3 3 8 2" xfId="18354" xr:uid="{41115FD5-9C5A-40BF-8AE6-F4B510EA5651}"/>
    <cellStyle name="Normal 4 4 3 3 9" xfId="9873" xr:uid="{DA8F599D-3A92-415C-A32B-CFA8D4F38D96}"/>
    <cellStyle name="Normal 4 4 3 4" xfId="862" xr:uid="{00000000-0005-0000-0000-0000A1150000}"/>
    <cellStyle name="Normal 4 4 3 4 2" xfId="3097" xr:uid="{00000000-0005-0000-0000-0000A2150000}"/>
    <cellStyle name="Normal 4 4 3 4 2 2" xfId="7319" xr:uid="{00000000-0005-0000-0000-0000A3150000}"/>
    <cellStyle name="Normal 4 4 3 4 2 2 2" xfId="16645" xr:uid="{4524F3EB-7F6E-4AF0-AD6B-2E6FBF738625}"/>
    <cellStyle name="Normal 4 4 3 4 2 3" xfId="12428" xr:uid="{732E2F2B-AF93-4709-B3FC-BCCD6C6A67E3}"/>
    <cellStyle name="Normal 4 4 3 4 3" xfId="5174" xr:uid="{00000000-0005-0000-0000-0000A4150000}"/>
    <cellStyle name="Normal 4 4 3 4 3 2" xfId="14500" xr:uid="{B6E262BD-A805-411A-A6E3-15DC04C27ED3}"/>
    <cellStyle name="Normal 4 4 3 4 4" xfId="9248" xr:uid="{6C5F877B-48E6-47C2-B849-E53F373D5A86}"/>
    <cellStyle name="Normal 4 4 3 4 4 2" xfId="18563" xr:uid="{E9523ED0-C549-496E-BB7A-9DB38C4E95B5}"/>
    <cellStyle name="Normal 4 4 3 4 5" xfId="10283" xr:uid="{7ED1EDAF-0D36-4D2A-BCB6-E0AD9555630A}"/>
    <cellStyle name="Normal 4 4 3 5" xfId="1280" xr:uid="{00000000-0005-0000-0000-0000A5150000}"/>
    <cellStyle name="Normal 4 4 3 5 2" xfId="3510" xr:uid="{00000000-0005-0000-0000-0000A6150000}"/>
    <cellStyle name="Normal 4 4 3 5 2 2" xfId="7732" xr:uid="{00000000-0005-0000-0000-0000A7150000}"/>
    <cellStyle name="Normal 4 4 3 5 2 2 2" xfId="17058" xr:uid="{D105710E-5EED-413C-94F6-990C46722B6C}"/>
    <cellStyle name="Normal 4 4 3 5 2 3" xfId="12841" xr:uid="{ACC2654A-986C-4646-83A8-C3013D4DDDDB}"/>
    <cellStyle name="Normal 4 4 3 5 3" xfId="5587" xr:uid="{00000000-0005-0000-0000-0000A8150000}"/>
    <cellStyle name="Normal 4 4 3 5 3 2" xfId="14913" xr:uid="{72D58169-0B1B-43E2-ADDD-B445B0E66820}"/>
    <cellStyle name="Normal 4 4 3 5 4" xfId="10696" xr:uid="{04D14C76-C40B-4A3E-90DA-31B3AABF2234}"/>
    <cellStyle name="Normal 4 4 3 6" xfId="1693" xr:uid="{00000000-0005-0000-0000-0000A9150000}"/>
    <cellStyle name="Normal 4 4 3 6 2" xfId="3923" xr:uid="{00000000-0005-0000-0000-0000AA150000}"/>
    <cellStyle name="Normal 4 4 3 6 2 2" xfId="8145" xr:uid="{00000000-0005-0000-0000-0000AB150000}"/>
    <cellStyle name="Normal 4 4 3 6 2 2 2" xfId="17471" xr:uid="{9D0F83E3-AB6C-4DDF-9B9E-76C4C73D2C36}"/>
    <cellStyle name="Normal 4 4 3 6 2 3" xfId="13254" xr:uid="{0BC6B0E6-F80B-4EA4-BA09-B011370DED26}"/>
    <cellStyle name="Normal 4 4 3 6 3" xfId="6000" xr:uid="{00000000-0005-0000-0000-0000AC150000}"/>
    <cellStyle name="Normal 4 4 3 6 3 2" xfId="15326" xr:uid="{EBF819AB-B020-4388-AB50-295AA792FF6A}"/>
    <cellStyle name="Normal 4 4 3 6 4" xfId="11109" xr:uid="{7E1797C0-0993-45E3-AE6B-6C55BF8B697B}"/>
    <cellStyle name="Normal 4 4 3 7" xfId="2107" xr:uid="{00000000-0005-0000-0000-0000AD150000}"/>
    <cellStyle name="Normal 4 4 3 7 2" xfId="4336" xr:uid="{00000000-0005-0000-0000-0000AE150000}"/>
    <cellStyle name="Normal 4 4 3 7 2 2" xfId="8558" xr:uid="{00000000-0005-0000-0000-0000AF150000}"/>
    <cellStyle name="Normal 4 4 3 7 2 2 2" xfId="17884" xr:uid="{D4289824-C0FE-4E96-A284-762B0E1B3B0C}"/>
    <cellStyle name="Normal 4 4 3 7 2 3" xfId="13667" xr:uid="{E78B7230-91FE-4C66-8D04-08336A284039}"/>
    <cellStyle name="Normal 4 4 3 7 3" xfId="6413" xr:uid="{00000000-0005-0000-0000-0000B0150000}"/>
    <cellStyle name="Normal 4 4 3 7 3 2" xfId="15739" xr:uid="{EFB75454-3214-4D9C-931B-E4746C724DD4}"/>
    <cellStyle name="Normal 4 4 3 7 4" xfId="11522" xr:uid="{ED2D0C3A-B51C-4E61-97A6-3DE7EB52DD97}"/>
    <cellStyle name="Normal 4 4 3 8" xfId="2543" xr:uid="{00000000-0005-0000-0000-0000B1150000}"/>
    <cellStyle name="Normal 4 4 3 8 2" xfId="6826" xr:uid="{00000000-0005-0000-0000-0000B2150000}"/>
    <cellStyle name="Normal 4 4 3 8 2 2" xfId="16152" xr:uid="{CE38B2AF-3F2D-4BFA-AB3F-6882211EA045}"/>
    <cellStyle name="Normal 4 4 3 8 3" xfId="11935" xr:uid="{1293E986-263E-4E68-82FD-E02DDE85A71B}"/>
    <cellStyle name="Normal 4 4 3 9" xfId="4761" xr:uid="{00000000-0005-0000-0000-0000B3150000}"/>
    <cellStyle name="Normal 4 4 3 9 2" xfId="14087" xr:uid="{AC1EEF18-194B-4105-9253-D70FB73BB3B4}"/>
    <cellStyle name="Normal 4 4 4" xfId="391" xr:uid="{00000000-0005-0000-0000-0000B4150000}"/>
    <cellStyle name="Normal 4 4 4 10" xfId="9874" xr:uid="{C7204FDC-B427-4086-BBD4-7A9B12CBF66C}"/>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2 2 2" xfId="16650" xr:uid="{59FC1F48-2750-487E-98E1-F2938A16205A}"/>
    <cellStyle name="Normal 4 4 4 2 2 2 3" xfId="12433" xr:uid="{F86C4991-2497-4C5F-B8B1-0FDB02D96061}"/>
    <cellStyle name="Normal 4 4 4 2 2 3" xfId="5179" xr:uid="{00000000-0005-0000-0000-0000B9150000}"/>
    <cellStyle name="Normal 4 4 4 2 2 3 2" xfId="14505" xr:uid="{A578E303-8502-405C-9124-C8EA708F93E4}"/>
    <cellStyle name="Normal 4 4 4 2 2 4" xfId="9484" xr:uid="{69910E0C-08C8-41C5-A6FC-61B52F6CD538}"/>
    <cellStyle name="Normal 4 4 4 2 2 4 2" xfId="18799" xr:uid="{A3D2CFB5-0A9C-4C7D-9004-A4FDE3764998}"/>
    <cellStyle name="Normal 4 4 4 2 2 5" xfId="10288" xr:uid="{BBCE1437-37DB-4306-9E6D-D7CF8DD44645}"/>
    <cellStyle name="Normal 4 4 4 2 3" xfId="1285" xr:uid="{00000000-0005-0000-0000-0000BA150000}"/>
    <cellStyle name="Normal 4 4 4 2 3 2" xfId="3515" xr:uid="{00000000-0005-0000-0000-0000BB150000}"/>
    <cellStyle name="Normal 4 4 4 2 3 2 2" xfId="7737" xr:uid="{00000000-0005-0000-0000-0000BC150000}"/>
    <cellStyle name="Normal 4 4 4 2 3 2 2 2" xfId="17063" xr:uid="{EFEE88B0-D95C-4084-A9A8-E75C0A602578}"/>
    <cellStyle name="Normal 4 4 4 2 3 2 3" xfId="12846" xr:uid="{453EDEE9-EB1C-429D-B1D6-C2944C5E182C}"/>
    <cellStyle name="Normal 4 4 4 2 3 3" xfId="5592" xr:uid="{00000000-0005-0000-0000-0000BD150000}"/>
    <cellStyle name="Normal 4 4 4 2 3 3 2" xfId="14918" xr:uid="{C45BDA8B-8710-4480-98A6-F631C8677C9A}"/>
    <cellStyle name="Normal 4 4 4 2 3 4" xfId="10701" xr:uid="{CD6E340E-9618-4477-ADB2-58FF813792C6}"/>
    <cellStyle name="Normal 4 4 4 2 4" xfId="1698" xr:uid="{00000000-0005-0000-0000-0000BE150000}"/>
    <cellStyle name="Normal 4 4 4 2 4 2" xfId="3928" xr:uid="{00000000-0005-0000-0000-0000BF150000}"/>
    <cellStyle name="Normal 4 4 4 2 4 2 2" xfId="8150" xr:uid="{00000000-0005-0000-0000-0000C0150000}"/>
    <cellStyle name="Normal 4 4 4 2 4 2 2 2" xfId="17476" xr:uid="{03149DFB-D33E-4879-8EC4-94F0EF7A2096}"/>
    <cellStyle name="Normal 4 4 4 2 4 2 3" xfId="13259" xr:uid="{2AC97AD9-EFB7-4952-A10B-194E9805221C}"/>
    <cellStyle name="Normal 4 4 4 2 4 3" xfId="6005" xr:uid="{00000000-0005-0000-0000-0000C1150000}"/>
    <cellStyle name="Normal 4 4 4 2 4 3 2" xfId="15331" xr:uid="{28F88251-1BEF-4126-A9ED-70D05C58F18A}"/>
    <cellStyle name="Normal 4 4 4 2 4 4" xfId="11114" xr:uid="{223279B3-A0F7-42DB-8B57-DF9197365A6D}"/>
    <cellStyle name="Normal 4 4 4 2 5" xfId="2112" xr:uid="{00000000-0005-0000-0000-0000C2150000}"/>
    <cellStyle name="Normal 4 4 4 2 5 2" xfId="4341" xr:uid="{00000000-0005-0000-0000-0000C3150000}"/>
    <cellStyle name="Normal 4 4 4 2 5 2 2" xfId="8563" xr:uid="{00000000-0005-0000-0000-0000C4150000}"/>
    <cellStyle name="Normal 4 4 4 2 5 2 2 2" xfId="17889" xr:uid="{5972D89A-D8AB-4D09-ADD9-3DCD82544C5F}"/>
    <cellStyle name="Normal 4 4 4 2 5 2 3" xfId="13672" xr:uid="{4F24CC9C-A542-40EA-A837-520D3BF67572}"/>
    <cellStyle name="Normal 4 4 4 2 5 3" xfId="6418" xr:uid="{00000000-0005-0000-0000-0000C5150000}"/>
    <cellStyle name="Normal 4 4 4 2 5 3 2" xfId="15744" xr:uid="{F527920D-133C-4CEA-B43A-C952202DCD48}"/>
    <cellStyle name="Normal 4 4 4 2 5 4" xfId="11527" xr:uid="{B7D0A874-0B8E-4150-9255-628CB1F55A9A}"/>
    <cellStyle name="Normal 4 4 4 2 6" xfId="2548" xr:uid="{00000000-0005-0000-0000-0000C6150000}"/>
    <cellStyle name="Normal 4 4 4 2 6 2" xfId="6831" xr:uid="{00000000-0005-0000-0000-0000C7150000}"/>
    <cellStyle name="Normal 4 4 4 2 6 2 2" xfId="16157" xr:uid="{2EBD2EBE-12CF-48DA-AD8F-4C2838E9D6E5}"/>
    <cellStyle name="Normal 4 4 4 2 6 3" xfId="11940" xr:uid="{68FA39CC-5CE2-455C-BCE1-59927DC7D876}"/>
    <cellStyle name="Normal 4 4 4 2 7" xfId="4766" xr:uid="{00000000-0005-0000-0000-0000C8150000}"/>
    <cellStyle name="Normal 4 4 4 2 7 2" xfId="14092" xr:uid="{4BD2AA7F-6649-4521-9ADB-A462BDD6F1A3}"/>
    <cellStyle name="Normal 4 4 4 2 8" xfId="9059" xr:uid="{76617FCA-DBA6-4291-BD32-6340A19903F7}"/>
    <cellStyle name="Normal 4 4 4 2 8 2" xfId="18383" xr:uid="{3D40589C-35FB-4987-89D8-72AC3A5AB951}"/>
    <cellStyle name="Normal 4 4 4 2 9" xfId="9875" xr:uid="{48C2B19F-9A2D-4B16-8893-796CF27D7D04}"/>
    <cellStyle name="Normal 4 4 4 3" xfId="866" xr:uid="{00000000-0005-0000-0000-0000C9150000}"/>
    <cellStyle name="Normal 4 4 4 3 2" xfId="3101" xr:uid="{00000000-0005-0000-0000-0000CA150000}"/>
    <cellStyle name="Normal 4 4 4 3 2 2" xfId="7323" xr:uid="{00000000-0005-0000-0000-0000CB150000}"/>
    <cellStyle name="Normal 4 4 4 3 2 2 2" xfId="16649" xr:uid="{6202FEDE-C18B-4CB9-8CAE-638385999F0F}"/>
    <cellStyle name="Normal 4 4 4 3 2 3" xfId="12432" xr:uid="{D92F66E6-EE93-4B41-A550-1B9595FB08AF}"/>
    <cellStyle name="Normal 4 4 4 3 3" xfId="5178" xr:uid="{00000000-0005-0000-0000-0000CC150000}"/>
    <cellStyle name="Normal 4 4 4 3 3 2" xfId="14504" xr:uid="{9EE9A0BC-2850-4AC4-81D7-EA5EAAD06701}"/>
    <cellStyle name="Normal 4 4 4 3 4" xfId="9277" xr:uid="{DD01CD29-2559-4BCC-919C-99D1D75C445F}"/>
    <cellStyle name="Normal 4 4 4 3 4 2" xfId="18592" xr:uid="{099CE5E5-3BF2-4DC7-97FD-45AC88515B85}"/>
    <cellStyle name="Normal 4 4 4 3 5" xfId="10287" xr:uid="{85063779-D09C-461F-8D87-F6A44842B38D}"/>
    <cellStyle name="Normal 4 4 4 4" xfId="1284" xr:uid="{00000000-0005-0000-0000-0000CD150000}"/>
    <cellStyle name="Normal 4 4 4 4 2" xfId="3514" xr:uid="{00000000-0005-0000-0000-0000CE150000}"/>
    <cellStyle name="Normal 4 4 4 4 2 2" xfId="7736" xr:uid="{00000000-0005-0000-0000-0000CF150000}"/>
    <cellStyle name="Normal 4 4 4 4 2 2 2" xfId="17062" xr:uid="{98CF8CD4-BF2E-4011-B11D-C1879BE29C09}"/>
    <cellStyle name="Normal 4 4 4 4 2 3" xfId="12845" xr:uid="{FDF2D20B-58C3-441B-B3A9-9ADC345F40EC}"/>
    <cellStyle name="Normal 4 4 4 4 3" xfId="5591" xr:uid="{00000000-0005-0000-0000-0000D0150000}"/>
    <cellStyle name="Normal 4 4 4 4 3 2" xfId="14917" xr:uid="{C9BC2074-C610-471F-8D65-8CDF44DA1D91}"/>
    <cellStyle name="Normal 4 4 4 4 4" xfId="10700" xr:uid="{12012082-35BB-49C1-A93A-40BB9E23231C}"/>
    <cellStyle name="Normal 4 4 4 5" xfId="1697" xr:uid="{00000000-0005-0000-0000-0000D1150000}"/>
    <cellStyle name="Normal 4 4 4 5 2" xfId="3927" xr:uid="{00000000-0005-0000-0000-0000D2150000}"/>
    <cellStyle name="Normal 4 4 4 5 2 2" xfId="8149" xr:uid="{00000000-0005-0000-0000-0000D3150000}"/>
    <cellStyle name="Normal 4 4 4 5 2 2 2" xfId="17475" xr:uid="{F3878DBB-03F3-408F-A3C6-4EA042CB0EBC}"/>
    <cellStyle name="Normal 4 4 4 5 2 3" xfId="13258" xr:uid="{80CBCA30-30F6-4CC9-A17F-1FEE3FDFF2AA}"/>
    <cellStyle name="Normal 4 4 4 5 3" xfId="6004" xr:uid="{00000000-0005-0000-0000-0000D4150000}"/>
    <cellStyle name="Normal 4 4 4 5 3 2" xfId="15330" xr:uid="{E0E7201F-F6AC-41BC-BEFE-0686651401D0}"/>
    <cellStyle name="Normal 4 4 4 5 4" xfId="11113" xr:uid="{739AAC87-31B0-4C83-A98F-6C373F07483A}"/>
    <cellStyle name="Normal 4 4 4 6" xfId="2111" xr:uid="{00000000-0005-0000-0000-0000D5150000}"/>
    <cellStyle name="Normal 4 4 4 6 2" xfId="4340" xr:uid="{00000000-0005-0000-0000-0000D6150000}"/>
    <cellStyle name="Normal 4 4 4 6 2 2" xfId="8562" xr:uid="{00000000-0005-0000-0000-0000D7150000}"/>
    <cellStyle name="Normal 4 4 4 6 2 2 2" xfId="17888" xr:uid="{C4587D1F-2B1E-4A89-8A51-873C0613DC8C}"/>
    <cellStyle name="Normal 4 4 4 6 2 3" xfId="13671" xr:uid="{D0F01EF8-4C2A-4E42-ACA9-8A9C3A78EFFD}"/>
    <cellStyle name="Normal 4 4 4 6 3" xfId="6417" xr:uid="{00000000-0005-0000-0000-0000D8150000}"/>
    <cellStyle name="Normal 4 4 4 6 3 2" xfId="15743" xr:uid="{12E3C7DB-548E-4811-A60C-DABD87BC51B5}"/>
    <cellStyle name="Normal 4 4 4 6 4" xfId="11526" xr:uid="{088958FF-20F5-4BA4-B24B-8F6C36A5E5E6}"/>
    <cellStyle name="Normal 4 4 4 7" xfId="2547" xr:uid="{00000000-0005-0000-0000-0000D9150000}"/>
    <cellStyle name="Normal 4 4 4 7 2" xfId="6830" xr:uid="{00000000-0005-0000-0000-0000DA150000}"/>
    <cellStyle name="Normal 4 4 4 7 2 2" xfId="16156" xr:uid="{F1F07247-C72A-41BA-8E2D-AEB67148849D}"/>
    <cellStyle name="Normal 4 4 4 7 3" xfId="11939" xr:uid="{09C93F80-1B82-4B4A-8206-AC1749BA7210}"/>
    <cellStyle name="Normal 4 4 4 8" xfId="4765" xr:uid="{00000000-0005-0000-0000-0000DB150000}"/>
    <cellStyle name="Normal 4 4 4 8 2" xfId="14091" xr:uid="{C0ADB471-495E-43F8-84C5-4FB65E68A860}"/>
    <cellStyle name="Normal 4 4 4 9" xfId="8852" xr:uid="{DF4BB962-85B1-44B5-A0FE-735796672772}"/>
    <cellStyle name="Normal 4 4 4 9 2" xfId="18176" xr:uid="{201262EF-2C57-4AF2-8DDE-884E64ACC5CE}"/>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2 2 2" xfId="16651" xr:uid="{0B77B60B-8870-454F-B3D6-4CE72FB3AF4F}"/>
    <cellStyle name="Normal 4 4 5 2 2 3" xfId="12434" xr:uid="{0C113666-CFBE-4C23-A0A8-44F06994C7D0}"/>
    <cellStyle name="Normal 4 4 5 2 3" xfId="5180" xr:uid="{00000000-0005-0000-0000-0000E0150000}"/>
    <cellStyle name="Normal 4 4 5 2 3 2" xfId="14506" xr:uid="{5A8A11DD-E747-4147-8EC8-6F9A088629B1}"/>
    <cellStyle name="Normal 4 4 5 2 4" xfId="9393" xr:uid="{C2991CC4-4E0B-46C4-B338-C6A1C9BA2DE9}"/>
    <cellStyle name="Normal 4 4 5 2 4 2" xfId="18708" xr:uid="{FB9029D0-3818-453C-ADC4-E4DD378175C4}"/>
    <cellStyle name="Normal 4 4 5 2 5" xfId="10289" xr:uid="{14CC0AE1-A0A8-43CE-ABF4-327DC081A180}"/>
    <cellStyle name="Normal 4 4 5 3" xfId="1286" xr:uid="{00000000-0005-0000-0000-0000E1150000}"/>
    <cellStyle name="Normal 4 4 5 3 2" xfId="3516" xr:uid="{00000000-0005-0000-0000-0000E2150000}"/>
    <cellStyle name="Normal 4 4 5 3 2 2" xfId="7738" xr:uid="{00000000-0005-0000-0000-0000E3150000}"/>
    <cellStyle name="Normal 4 4 5 3 2 2 2" xfId="17064" xr:uid="{1B0DBDDE-1BA4-4F3D-BB30-345B34BEDAFB}"/>
    <cellStyle name="Normal 4 4 5 3 2 3" xfId="12847" xr:uid="{9DA82CE2-D9F9-404B-9A68-BBC0543269BB}"/>
    <cellStyle name="Normal 4 4 5 3 3" xfId="5593" xr:uid="{00000000-0005-0000-0000-0000E4150000}"/>
    <cellStyle name="Normal 4 4 5 3 3 2" xfId="14919" xr:uid="{F2C59BAC-CDD6-4E67-8868-4F814F33DC46}"/>
    <cellStyle name="Normal 4 4 5 3 4" xfId="10702" xr:uid="{30BB6E38-229A-4B0F-A97C-6BC635F2775D}"/>
    <cellStyle name="Normal 4 4 5 4" xfId="1699" xr:uid="{00000000-0005-0000-0000-0000E5150000}"/>
    <cellStyle name="Normal 4 4 5 4 2" xfId="3929" xr:uid="{00000000-0005-0000-0000-0000E6150000}"/>
    <cellStyle name="Normal 4 4 5 4 2 2" xfId="8151" xr:uid="{00000000-0005-0000-0000-0000E7150000}"/>
    <cellStyle name="Normal 4 4 5 4 2 2 2" xfId="17477" xr:uid="{5BDBAC88-B2AF-44A3-ACF1-9C580FFC7934}"/>
    <cellStyle name="Normal 4 4 5 4 2 3" xfId="13260" xr:uid="{519877B0-F076-4E98-943E-1E30C28E1450}"/>
    <cellStyle name="Normal 4 4 5 4 3" xfId="6006" xr:uid="{00000000-0005-0000-0000-0000E8150000}"/>
    <cellStyle name="Normal 4 4 5 4 3 2" xfId="15332" xr:uid="{0B3184A9-31C4-4ECD-BADF-B3D14EEFEA7C}"/>
    <cellStyle name="Normal 4 4 5 4 4" xfId="11115" xr:uid="{67B54BFD-4339-4A9A-8673-5878B6A1D7D3}"/>
    <cellStyle name="Normal 4 4 5 5" xfId="2113" xr:uid="{00000000-0005-0000-0000-0000E9150000}"/>
    <cellStyle name="Normal 4 4 5 5 2" xfId="4342" xr:uid="{00000000-0005-0000-0000-0000EA150000}"/>
    <cellStyle name="Normal 4 4 5 5 2 2" xfId="8564" xr:uid="{00000000-0005-0000-0000-0000EB150000}"/>
    <cellStyle name="Normal 4 4 5 5 2 2 2" xfId="17890" xr:uid="{4E23B7A0-2534-4BDA-94D1-7756B3A9EE99}"/>
    <cellStyle name="Normal 4 4 5 5 2 3" xfId="13673" xr:uid="{2D9B9FB6-109C-4232-8304-38BBE9E3821C}"/>
    <cellStyle name="Normal 4 4 5 5 3" xfId="6419" xr:uid="{00000000-0005-0000-0000-0000EC150000}"/>
    <cellStyle name="Normal 4 4 5 5 3 2" xfId="15745" xr:uid="{9A286E89-8152-45C9-B750-3D051C0C35DC}"/>
    <cellStyle name="Normal 4 4 5 5 4" xfId="11528" xr:uid="{6DF57D41-4D8A-4B5E-B61F-82D8A95D17CA}"/>
    <cellStyle name="Normal 4 4 5 6" xfId="2549" xr:uid="{00000000-0005-0000-0000-0000ED150000}"/>
    <cellStyle name="Normal 4 4 5 6 2" xfId="6832" xr:uid="{00000000-0005-0000-0000-0000EE150000}"/>
    <cellStyle name="Normal 4 4 5 6 2 2" xfId="16158" xr:uid="{2141A0E7-6A03-469D-A886-879D4BD60CF0}"/>
    <cellStyle name="Normal 4 4 5 6 3" xfId="11941" xr:uid="{F6444FFF-6F0B-44DC-8A4C-098532A5B972}"/>
    <cellStyle name="Normal 4 4 5 7" xfId="4767" xr:uid="{00000000-0005-0000-0000-0000EF150000}"/>
    <cellStyle name="Normal 4 4 5 7 2" xfId="14093" xr:uid="{E83E44BA-787C-4FC0-81AB-9E107344975E}"/>
    <cellStyle name="Normal 4 4 5 8" xfId="8968" xr:uid="{BE877DDE-435D-4CBA-84F2-0372D1DDE771}"/>
    <cellStyle name="Normal 4 4 5 8 2" xfId="18292" xr:uid="{EB08CCDB-6806-44A0-8934-220D9D554070}"/>
    <cellStyle name="Normal 4 4 5 9" xfId="9876" xr:uid="{715940D9-8EAD-4A45-BB95-82A83996BF0A}"/>
    <cellStyle name="Normal 4 4 6" xfId="853" xr:uid="{00000000-0005-0000-0000-0000F0150000}"/>
    <cellStyle name="Normal 4 4 6 2" xfId="3088" xr:uid="{00000000-0005-0000-0000-0000F1150000}"/>
    <cellStyle name="Normal 4 4 6 2 2" xfId="7310" xr:uid="{00000000-0005-0000-0000-0000F2150000}"/>
    <cellStyle name="Normal 4 4 6 2 2 2" xfId="16636" xr:uid="{51CEE316-A7AC-4E78-8393-8909DFB08A32}"/>
    <cellStyle name="Normal 4 4 6 2 3" xfId="12419" xr:uid="{FFF30942-51EC-46A1-804C-B2873E65AB6F}"/>
    <cellStyle name="Normal 4 4 6 3" xfId="5165" xr:uid="{00000000-0005-0000-0000-0000F3150000}"/>
    <cellStyle name="Normal 4 4 6 3 2" xfId="14491" xr:uid="{C0DA2549-51DD-4CAE-BE35-73B9A7DA36F0}"/>
    <cellStyle name="Normal 4 4 6 4" xfId="9171" xr:uid="{C474601B-95F0-4C9E-AB77-B3E61D2A21D7}"/>
    <cellStyle name="Normal 4 4 6 4 2" xfId="18489" xr:uid="{98A464EA-B144-45ED-9524-A6FB8B236A59}"/>
    <cellStyle name="Normal 4 4 6 5" xfId="10274" xr:uid="{77B72878-7904-4400-AB19-76A21DEDE24D}"/>
    <cellStyle name="Normal 4 4 7" xfId="1271" xr:uid="{00000000-0005-0000-0000-0000F4150000}"/>
    <cellStyle name="Normal 4 4 7 2" xfId="3501" xr:uid="{00000000-0005-0000-0000-0000F5150000}"/>
    <cellStyle name="Normal 4 4 7 2 2" xfId="7723" xr:uid="{00000000-0005-0000-0000-0000F6150000}"/>
    <cellStyle name="Normal 4 4 7 2 2 2" xfId="17049" xr:uid="{5AEDB749-B497-4CD9-92D3-1E46801DE305}"/>
    <cellStyle name="Normal 4 4 7 2 3" xfId="12832" xr:uid="{3FDEB288-DA2D-48B8-B4AE-22C858B86A71}"/>
    <cellStyle name="Normal 4 4 7 3" xfId="5578" xr:uid="{00000000-0005-0000-0000-0000F7150000}"/>
    <cellStyle name="Normal 4 4 7 3 2" xfId="14904" xr:uid="{A6890A3D-8318-4084-8141-655B4CAA5628}"/>
    <cellStyle name="Normal 4 4 7 4" xfId="10687" xr:uid="{F62635AC-DAD0-414B-AC84-FAC992D5C597}"/>
    <cellStyle name="Normal 4 4 8" xfId="1684" xr:uid="{00000000-0005-0000-0000-0000F8150000}"/>
    <cellStyle name="Normal 4 4 8 2" xfId="3914" xr:uid="{00000000-0005-0000-0000-0000F9150000}"/>
    <cellStyle name="Normal 4 4 8 2 2" xfId="8136" xr:uid="{00000000-0005-0000-0000-0000FA150000}"/>
    <cellStyle name="Normal 4 4 8 2 2 2" xfId="17462" xr:uid="{40B6D54F-8FCC-4322-8BA5-95A5D998402C}"/>
    <cellStyle name="Normal 4 4 8 2 3" xfId="13245" xr:uid="{12833D35-52A4-4C75-8C04-DC161698CFD7}"/>
    <cellStyle name="Normal 4 4 8 3" xfId="5991" xr:uid="{00000000-0005-0000-0000-0000FB150000}"/>
    <cellStyle name="Normal 4 4 8 3 2" xfId="15317" xr:uid="{1B0F7013-8295-43D4-A9FA-E09C2FC4CB67}"/>
    <cellStyle name="Normal 4 4 8 4" xfId="11100" xr:uid="{997A9A05-51ED-4AE7-9068-1C093E7CEFC4}"/>
    <cellStyle name="Normal 4 4 9" xfId="2098" xr:uid="{00000000-0005-0000-0000-0000FC150000}"/>
    <cellStyle name="Normal 4 4 9 2" xfId="4327" xr:uid="{00000000-0005-0000-0000-0000FD150000}"/>
    <cellStyle name="Normal 4 4 9 2 2" xfId="8549" xr:uid="{00000000-0005-0000-0000-0000FE150000}"/>
    <cellStyle name="Normal 4 4 9 2 2 2" xfId="17875" xr:uid="{E6615625-A2B3-4095-ABF4-3D09A91713B9}"/>
    <cellStyle name="Normal 4 4 9 2 3" xfId="13658" xr:uid="{90B50551-6A8E-44B3-8546-ECC777263EA7}"/>
    <cellStyle name="Normal 4 4 9 3" xfId="6404" xr:uid="{00000000-0005-0000-0000-0000FF150000}"/>
    <cellStyle name="Normal 4 4 9 3 2" xfId="15730" xr:uid="{0D1FBFB3-21FC-46BB-82BE-A28B1A44947F}"/>
    <cellStyle name="Normal 4 4 9 4" xfId="11513" xr:uid="{5C7D08D7-7264-4227-AC95-FB3601D1F2A7}"/>
    <cellStyle name="Normal 4 5" xfId="394" xr:uid="{00000000-0005-0000-0000-000000160000}"/>
    <cellStyle name="Normal 4 6" xfId="395" xr:uid="{00000000-0005-0000-0000-000001160000}"/>
    <cellStyle name="Normal 4 6 10" xfId="4768" xr:uid="{00000000-0005-0000-0000-000002160000}"/>
    <cellStyle name="Normal 4 6 10 2" xfId="14094" xr:uid="{E5370E4F-2087-4AAF-BCE2-72C7298E3C53}"/>
    <cellStyle name="Normal 4 6 11" xfId="8772" xr:uid="{23628FEE-4113-4B2C-B2A0-0106FC7F55C2}"/>
    <cellStyle name="Normal 4 6 11 2" xfId="18096" xr:uid="{59E48046-F7BD-427F-9D54-1220ED1BC2D8}"/>
    <cellStyle name="Normal 4 6 12" xfId="9877" xr:uid="{9A535727-DB6E-4A8D-B21A-A255D28676FC}"/>
    <cellStyle name="Normal 4 6 2" xfId="396" xr:uid="{00000000-0005-0000-0000-000003160000}"/>
    <cellStyle name="Normal 4 6 2 10" xfId="8825" xr:uid="{C3062495-9D56-441B-95F6-B73E7DAC524C}"/>
    <cellStyle name="Normal 4 6 2 10 2" xfId="18149" xr:uid="{A11C80AB-D7A9-48E1-88F7-ABA5EB63468C}"/>
    <cellStyle name="Normal 4 6 2 11" xfId="9878" xr:uid="{770C3121-EE02-42F1-B5F9-089E60F7ECDA}"/>
    <cellStyle name="Normal 4 6 2 2" xfId="397" xr:uid="{00000000-0005-0000-0000-000004160000}"/>
    <cellStyle name="Normal 4 6 2 2 10" xfId="9879" xr:uid="{34130175-41DB-4008-89FB-3BD5CCEE5BAC}"/>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2 2 2" xfId="16655" xr:uid="{6776E510-CDC2-43BF-B28D-282BE1F4BE39}"/>
    <cellStyle name="Normal 4 6 2 2 2 2 2 3" xfId="12438" xr:uid="{3E2F61D2-5371-469C-B053-39AC84A4C260}"/>
    <cellStyle name="Normal 4 6 2 2 2 2 3" xfId="5184" xr:uid="{00000000-0005-0000-0000-000009160000}"/>
    <cellStyle name="Normal 4 6 2 2 2 2 3 2" xfId="14510" xr:uid="{E05AEE4D-E1B0-42FA-B6F3-52B6F76B0AB5}"/>
    <cellStyle name="Normal 4 6 2 2 2 2 4" xfId="9560" xr:uid="{04DAEE11-A96E-4522-8546-8A0C107E12B9}"/>
    <cellStyle name="Normal 4 6 2 2 2 2 4 2" xfId="18875" xr:uid="{D5D4446A-2423-4EE7-8DA9-CDB870E1F20C}"/>
    <cellStyle name="Normal 4 6 2 2 2 2 5" xfId="10293" xr:uid="{8E5AA362-57C7-4D68-8D27-A37691333BF3}"/>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2 2 2" xfId="17068" xr:uid="{0A45BDA1-4E85-422C-826D-74DB39F749C7}"/>
    <cellStyle name="Normal 4 6 2 2 2 3 2 3" xfId="12851" xr:uid="{BCC179CC-9287-4193-A702-73B1EEB214F6}"/>
    <cellStyle name="Normal 4 6 2 2 2 3 3" xfId="5597" xr:uid="{00000000-0005-0000-0000-00000D160000}"/>
    <cellStyle name="Normal 4 6 2 2 2 3 3 2" xfId="14923" xr:uid="{F06BB80E-5A0C-48A8-9955-D6F47D6EAC19}"/>
    <cellStyle name="Normal 4 6 2 2 2 3 4" xfId="10706" xr:uid="{8124ABAD-B2B3-4114-A8B5-51205C841828}"/>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2 2 2" xfId="17481" xr:uid="{462F3848-25F4-4B0B-8A59-0C352A6A51DF}"/>
    <cellStyle name="Normal 4 6 2 2 2 4 2 3" xfId="13264" xr:uid="{268A2133-3949-45EC-90CF-2AAB061C1BDD}"/>
    <cellStyle name="Normal 4 6 2 2 2 4 3" xfId="6010" xr:uid="{00000000-0005-0000-0000-000011160000}"/>
    <cellStyle name="Normal 4 6 2 2 2 4 3 2" xfId="15336" xr:uid="{CFD1107A-D86C-4BCE-BD25-6538021823BA}"/>
    <cellStyle name="Normal 4 6 2 2 2 4 4" xfId="11119" xr:uid="{0EB9C9D1-F2DA-488F-922B-71330D212FC5}"/>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2 2 2" xfId="17894" xr:uid="{D0D83548-AA21-43A5-8F23-4870868AE9C3}"/>
    <cellStyle name="Normal 4 6 2 2 2 5 2 3" xfId="13677" xr:uid="{095C9570-6E45-45E5-AC9A-FD379A1E34C4}"/>
    <cellStyle name="Normal 4 6 2 2 2 5 3" xfId="6423" xr:uid="{00000000-0005-0000-0000-000015160000}"/>
    <cellStyle name="Normal 4 6 2 2 2 5 3 2" xfId="15749" xr:uid="{A5CF880C-8C9C-4065-A9E5-7A79EB5A078B}"/>
    <cellStyle name="Normal 4 6 2 2 2 5 4" xfId="11532" xr:uid="{75A5961C-9D20-4D0D-BA92-FF95B0C98198}"/>
    <cellStyle name="Normal 4 6 2 2 2 6" xfId="2553" xr:uid="{00000000-0005-0000-0000-000016160000}"/>
    <cellStyle name="Normal 4 6 2 2 2 6 2" xfId="6836" xr:uid="{00000000-0005-0000-0000-000017160000}"/>
    <cellStyle name="Normal 4 6 2 2 2 6 2 2" xfId="16162" xr:uid="{736F7C28-BB1C-426C-8B20-26046DF07EFA}"/>
    <cellStyle name="Normal 4 6 2 2 2 6 3" xfId="11945" xr:uid="{6426E040-24AB-435B-9586-CC8443BAB30A}"/>
    <cellStyle name="Normal 4 6 2 2 2 7" xfId="4771" xr:uid="{00000000-0005-0000-0000-000018160000}"/>
    <cellStyle name="Normal 4 6 2 2 2 7 2" xfId="14097" xr:uid="{E8513EA3-D525-4E64-970F-FD1F5D77382F}"/>
    <cellStyle name="Normal 4 6 2 2 2 8" xfId="9135" xr:uid="{2F4C420F-13DD-45DD-99DD-C7AFF7CD7823}"/>
    <cellStyle name="Normal 4 6 2 2 2 8 2" xfId="18459" xr:uid="{7C92A201-1901-4C97-BA8B-B6C614BA96C3}"/>
    <cellStyle name="Normal 4 6 2 2 2 9" xfId="9880" xr:uid="{D8A1453C-3B9D-4AE2-AF78-3CB98B735405}"/>
    <cellStyle name="Normal 4 6 2 2 3" xfId="871" xr:uid="{00000000-0005-0000-0000-000019160000}"/>
    <cellStyle name="Normal 4 6 2 2 3 2" xfId="3106" xr:uid="{00000000-0005-0000-0000-00001A160000}"/>
    <cellStyle name="Normal 4 6 2 2 3 2 2" xfId="7328" xr:uid="{00000000-0005-0000-0000-00001B160000}"/>
    <cellStyle name="Normal 4 6 2 2 3 2 2 2" xfId="16654" xr:uid="{162A6B01-98DD-449F-B349-8CC9886EFB55}"/>
    <cellStyle name="Normal 4 6 2 2 3 2 3" xfId="12437" xr:uid="{C8922F53-EE9A-40FF-8431-5E72C541C96D}"/>
    <cellStyle name="Normal 4 6 2 2 3 3" xfId="5183" xr:uid="{00000000-0005-0000-0000-00001C160000}"/>
    <cellStyle name="Normal 4 6 2 2 3 3 2" xfId="14509" xr:uid="{5FB1F6BC-E93E-4314-8A46-4A122EE60EB6}"/>
    <cellStyle name="Normal 4 6 2 2 3 4" xfId="9353" xr:uid="{60C7EC16-17DE-43AF-A246-41C667B376B7}"/>
    <cellStyle name="Normal 4 6 2 2 3 4 2" xfId="18668" xr:uid="{70841794-9AA9-41F6-B2FF-DACDA3D517B6}"/>
    <cellStyle name="Normal 4 6 2 2 3 5" xfId="10292" xr:uid="{ABB00A84-F5FE-40A2-90E3-5998E492F85E}"/>
    <cellStyle name="Normal 4 6 2 2 4" xfId="1289" xr:uid="{00000000-0005-0000-0000-00001D160000}"/>
    <cellStyle name="Normal 4 6 2 2 4 2" xfId="3519" xr:uid="{00000000-0005-0000-0000-00001E160000}"/>
    <cellStyle name="Normal 4 6 2 2 4 2 2" xfId="7741" xr:uid="{00000000-0005-0000-0000-00001F160000}"/>
    <cellStyle name="Normal 4 6 2 2 4 2 2 2" xfId="17067" xr:uid="{09D14B78-184E-49B6-8D55-5B898ECEA188}"/>
    <cellStyle name="Normal 4 6 2 2 4 2 3" xfId="12850" xr:uid="{0EA57DF9-7C26-4B81-ADEF-1D3C412FA205}"/>
    <cellStyle name="Normal 4 6 2 2 4 3" xfId="5596" xr:uid="{00000000-0005-0000-0000-000020160000}"/>
    <cellStyle name="Normal 4 6 2 2 4 3 2" xfId="14922" xr:uid="{52D8BE16-B490-406B-A256-DA09B4C4A07F}"/>
    <cellStyle name="Normal 4 6 2 2 4 4" xfId="10705" xr:uid="{C8277AF7-2948-4ACC-B0AB-D9D669D3721F}"/>
    <cellStyle name="Normal 4 6 2 2 5" xfId="1702" xr:uid="{00000000-0005-0000-0000-000021160000}"/>
    <cellStyle name="Normal 4 6 2 2 5 2" xfId="3932" xr:uid="{00000000-0005-0000-0000-000022160000}"/>
    <cellStyle name="Normal 4 6 2 2 5 2 2" xfId="8154" xr:uid="{00000000-0005-0000-0000-000023160000}"/>
    <cellStyle name="Normal 4 6 2 2 5 2 2 2" xfId="17480" xr:uid="{DC2AFBEB-6F83-4D65-9F26-0F70CC279033}"/>
    <cellStyle name="Normal 4 6 2 2 5 2 3" xfId="13263" xr:uid="{8518C0BB-DBA7-4350-8AFB-24745DFC2B5F}"/>
    <cellStyle name="Normal 4 6 2 2 5 3" xfId="6009" xr:uid="{00000000-0005-0000-0000-000024160000}"/>
    <cellStyle name="Normal 4 6 2 2 5 3 2" xfId="15335" xr:uid="{CFA31030-D37C-4B1B-B9A8-EA9513B3F194}"/>
    <cellStyle name="Normal 4 6 2 2 5 4" xfId="11118" xr:uid="{46AD7756-BD97-4489-84DF-E2CFBD593019}"/>
    <cellStyle name="Normal 4 6 2 2 6" xfId="2116" xr:uid="{00000000-0005-0000-0000-000025160000}"/>
    <cellStyle name="Normal 4 6 2 2 6 2" xfId="4345" xr:uid="{00000000-0005-0000-0000-000026160000}"/>
    <cellStyle name="Normal 4 6 2 2 6 2 2" xfId="8567" xr:uid="{00000000-0005-0000-0000-000027160000}"/>
    <cellStyle name="Normal 4 6 2 2 6 2 2 2" xfId="17893" xr:uid="{4AE84DF1-E87B-4B60-B829-B0581330E2DD}"/>
    <cellStyle name="Normal 4 6 2 2 6 2 3" xfId="13676" xr:uid="{C4B6E976-9439-4F34-8C3F-2988AA282CF1}"/>
    <cellStyle name="Normal 4 6 2 2 6 3" xfId="6422" xr:uid="{00000000-0005-0000-0000-000028160000}"/>
    <cellStyle name="Normal 4 6 2 2 6 3 2" xfId="15748" xr:uid="{6A9B1CF8-82F6-43C9-8729-86C6B0FC443A}"/>
    <cellStyle name="Normal 4 6 2 2 6 4" xfId="11531" xr:uid="{D85E23EA-DDC9-4C67-95F3-6FC264F2DD88}"/>
    <cellStyle name="Normal 4 6 2 2 7" xfId="2552" xr:uid="{00000000-0005-0000-0000-000029160000}"/>
    <cellStyle name="Normal 4 6 2 2 7 2" xfId="6835" xr:uid="{00000000-0005-0000-0000-00002A160000}"/>
    <cellStyle name="Normal 4 6 2 2 7 2 2" xfId="16161" xr:uid="{B323737D-EE3D-4F7D-88B9-449703CD07B5}"/>
    <cellStyle name="Normal 4 6 2 2 7 3" xfId="11944" xr:uid="{03ABB827-B8BC-40B1-B040-12F6546962B5}"/>
    <cellStyle name="Normal 4 6 2 2 8" xfId="4770" xr:uid="{00000000-0005-0000-0000-00002B160000}"/>
    <cellStyle name="Normal 4 6 2 2 8 2" xfId="14096" xr:uid="{34619A28-42D9-451A-8500-002E7E552907}"/>
    <cellStyle name="Normal 4 6 2 2 9" xfId="8928" xr:uid="{EC58FE5E-68BA-4864-AD86-0F9D1DB17AD0}"/>
    <cellStyle name="Normal 4 6 2 2 9 2" xfId="18252" xr:uid="{5C3ECD44-A812-4413-A5A7-4AA823F97411}"/>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2 2 2" xfId="16656" xr:uid="{BD6FAC94-6685-4040-B2FA-352149C0786D}"/>
    <cellStyle name="Normal 4 6 2 3 2 2 3" xfId="12439" xr:uid="{35698ABF-35FA-4463-8F27-BACC335067AC}"/>
    <cellStyle name="Normal 4 6 2 3 2 3" xfId="5185" xr:uid="{00000000-0005-0000-0000-000030160000}"/>
    <cellStyle name="Normal 4 6 2 3 2 3 2" xfId="14511" xr:uid="{21C6119A-4579-491F-BC79-D81A64DAF485}"/>
    <cellStyle name="Normal 4 6 2 3 2 4" xfId="9457" xr:uid="{E86AED2D-42AD-49DE-9461-1FA72B82C89E}"/>
    <cellStyle name="Normal 4 6 2 3 2 4 2" xfId="18772" xr:uid="{F6B0C1EC-14EB-4602-99CC-59787B83C469}"/>
    <cellStyle name="Normal 4 6 2 3 2 5" xfId="10294" xr:uid="{148FDFEB-AB80-4740-93B8-316134EEE8C6}"/>
    <cellStyle name="Normal 4 6 2 3 3" xfId="1291" xr:uid="{00000000-0005-0000-0000-000031160000}"/>
    <cellStyle name="Normal 4 6 2 3 3 2" xfId="3521" xr:uid="{00000000-0005-0000-0000-000032160000}"/>
    <cellStyle name="Normal 4 6 2 3 3 2 2" xfId="7743" xr:uid="{00000000-0005-0000-0000-000033160000}"/>
    <cellStyle name="Normal 4 6 2 3 3 2 2 2" xfId="17069" xr:uid="{35347EC7-F412-4CDD-A4A5-59C7CFED4A5C}"/>
    <cellStyle name="Normal 4 6 2 3 3 2 3" xfId="12852" xr:uid="{5C8D6D4C-486A-4A81-BFC2-932B29E10FD5}"/>
    <cellStyle name="Normal 4 6 2 3 3 3" xfId="5598" xr:uid="{00000000-0005-0000-0000-000034160000}"/>
    <cellStyle name="Normal 4 6 2 3 3 3 2" xfId="14924" xr:uid="{D473EB59-12DA-4F63-A544-13C13D75C644}"/>
    <cellStyle name="Normal 4 6 2 3 3 4" xfId="10707" xr:uid="{AFE8CEE3-D3C5-42D8-AFA8-E2B4F37860EC}"/>
    <cellStyle name="Normal 4 6 2 3 4" xfId="1704" xr:uid="{00000000-0005-0000-0000-000035160000}"/>
    <cellStyle name="Normal 4 6 2 3 4 2" xfId="3934" xr:uid="{00000000-0005-0000-0000-000036160000}"/>
    <cellStyle name="Normal 4 6 2 3 4 2 2" xfId="8156" xr:uid="{00000000-0005-0000-0000-000037160000}"/>
    <cellStyle name="Normal 4 6 2 3 4 2 2 2" xfId="17482" xr:uid="{3A8A7A55-B29E-4945-8CEA-1334AA6D426A}"/>
    <cellStyle name="Normal 4 6 2 3 4 2 3" xfId="13265" xr:uid="{A2F79720-067B-4174-8AEF-BB5DB953F104}"/>
    <cellStyle name="Normal 4 6 2 3 4 3" xfId="6011" xr:uid="{00000000-0005-0000-0000-000038160000}"/>
    <cellStyle name="Normal 4 6 2 3 4 3 2" xfId="15337" xr:uid="{A03CCB0F-A8B3-4BE2-BE57-9B4CDC0A3857}"/>
    <cellStyle name="Normal 4 6 2 3 4 4" xfId="11120" xr:uid="{6575DB83-5B5D-4F98-A763-B34630F51E3D}"/>
    <cellStyle name="Normal 4 6 2 3 5" xfId="2118" xr:uid="{00000000-0005-0000-0000-000039160000}"/>
    <cellStyle name="Normal 4 6 2 3 5 2" xfId="4347" xr:uid="{00000000-0005-0000-0000-00003A160000}"/>
    <cellStyle name="Normal 4 6 2 3 5 2 2" xfId="8569" xr:uid="{00000000-0005-0000-0000-00003B160000}"/>
    <cellStyle name="Normal 4 6 2 3 5 2 2 2" xfId="17895" xr:uid="{DDE05A36-8153-410A-8B8A-F3AC7A649FB0}"/>
    <cellStyle name="Normal 4 6 2 3 5 2 3" xfId="13678" xr:uid="{1A57DB38-1BF0-4944-8266-10449E2542CB}"/>
    <cellStyle name="Normal 4 6 2 3 5 3" xfId="6424" xr:uid="{00000000-0005-0000-0000-00003C160000}"/>
    <cellStyle name="Normal 4 6 2 3 5 3 2" xfId="15750" xr:uid="{0BD4CD4C-0C54-48D2-B426-B4A660C02EF0}"/>
    <cellStyle name="Normal 4 6 2 3 5 4" xfId="11533" xr:uid="{9C2DF58A-837B-46AA-BE15-ADE8ABD3C343}"/>
    <cellStyle name="Normal 4 6 2 3 6" xfId="2554" xr:uid="{00000000-0005-0000-0000-00003D160000}"/>
    <cellStyle name="Normal 4 6 2 3 6 2" xfId="6837" xr:uid="{00000000-0005-0000-0000-00003E160000}"/>
    <cellStyle name="Normal 4 6 2 3 6 2 2" xfId="16163" xr:uid="{48048EC2-4A01-4DB9-AE57-24EFF1AA7FCF}"/>
    <cellStyle name="Normal 4 6 2 3 6 3" xfId="11946" xr:uid="{CDD4802E-62D4-48DD-9118-0F0E0A1876A1}"/>
    <cellStyle name="Normal 4 6 2 3 7" xfId="4772" xr:uid="{00000000-0005-0000-0000-00003F160000}"/>
    <cellStyle name="Normal 4 6 2 3 7 2" xfId="14098" xr:uid="{D916BE36-8326-42E6-BD84-E0FD7699D74F}"/>
    <cellStyle name="Normal 4 6 2 3 8" xfId="9032" xr:uid="{576A1DC5-5971-4772-803F-0A60F80D4C41}"/>
    <cellStyle name="Normal 4 6 2 3 8 2" xfId="18356" xr:uid="{ABE9C6D2-290E-4A1E-BCAE-FE62AB51C5CE}"/>
    <cellStyle name="Normal 4 6 2 3 9" xfId="9881" xr:uid="{F0D84096-841F-42F4-A6AA-B8734E8C948C}"/>
    <cellStyle name="Normal 4 6 2 4" xfId="870" xr:uid="{00000000-0005-0000-0000-000040160000}"/>
    <cellStyle name="Normal 4 6 2 4 2" xfId="3105" xr:uid="{00000000-0005-0000-0000-000041160000}"/>
    <cellStyle name="Normal 4 6 2 4 2 2" xfId="7327" xr:uid="{00000000-0005-0000-0000-000042160000}"/>
    <cellStyle name="Normal 4 6 2 4 2 2 2" xfId="16653" xr:uid="{193E2BE0-44E0-415E-809C-A99C816EF9CE}"/>
    <cellStyle name="Normal 4 6 2 4 2 3" xfId="12436" xr:uid="{CCCE0DEF-CC9D-49FC-842C-761059677895}"/>
    <cellStyle name="Normal 4 6 2 4 3" xfId="5182" xr:uid="{00000000-0005-0000-0000-000043160000}"/>
    <cellStyle name="Normal 4 6 2 4 3 2" xfId="14508" xr:uid="{D904DBE7-4735-46C5-87BF-6F0C1D5630C6}"/>
    <cellStyle name="Normal 4 6 2 4 4" xfId="9250" xr:uid="{CBBC9A51-5203-4C00-93C7-FE7C973DCDD1}"/>
    <cellStyle name="Normal 4 6 2 4 4 2" xfId="18565" xr:uid="{4F107C64-AB4F-4E1B-A0E2-3DAB1BFE402C}"/>
    <cellStyle name="Normal 4 6 2 4 5" xfId="10291" xr:uid="{9003EF49-E200-46ED-B48E-A5CD10E5DB78}"/>
    <cellStyle name="Normal 4 6 2 5" xfId="1288" xr:uid="{00000000-0005-0000-0000-000044160000}"/>
    <cellStyle name="Normal 4 6 2 5 2" xfId="3518" xr:uid="{00000000-0005-0000-0000-000045160000}"/>
    <cellStyle name="Normal 4 6 2 5 2 2" xfId="7740" xr:uid="{00000000-0005-0000-0000-000046160000}"/>
    <cellStyle name="Normal 4 6 2 5 2 2 2" xfId="17066" xr:uid="{BB334DFB-8B93-4075-876E-2FC5672E3803}"/>
    <cellStyle name="Normal 4 6 2 5 2 3" xfId="12849" xr:uid="{66C8127F-77C9-4762-A54F-F11B27D7D56A}"/>
    <cellStyle name="Normal 4 6 2 5 3" xfId="5595" xr:uid="{00000000-0005-0000-0000-000047160000}"/>
    <cellStyle name="Normal 4 6 2 5 3 2" xfId="14921" xr:uid="{77E251B0-4A79-4A15-8847-C72B5114F4DF}"/>
    <cellStyle name="Normal 4 6 2 5 4" xfId="10704" xr:uid="{CA880A4A-DD9C-4583-8B27-429EC18928FA}"/>
    <cellStyle name="Normal 4 6 2 6" xfId="1701" xr:uid="{00000000-0005-0000-0000-000048160000}"/>
    <cellStyle name="Normal 4 6 2 6 2" xfId="3931" xr:uid="{00000000-0005-0000-0000-000049160000}"/>
    <cellStyle name="Normal 4 6 2 6 2 2" xfId="8153" xr:uid="{00000000-0005-0000-0000-00004A160000}"/>
    <cellStyle name="Normal 4 6 2 6 2 2 2" xfId="17479" xr:uid="{DD2A8C5B-A79D-4EFE-987D-BEB3BD7342A1}"/>
    <cellStyle name="Normal 4 6 2 6 2 3" xfId="13262" xr:uid="{D3038C92-8FE2-410E-8921-BEC62BEC2DCE}"/>
    <cellStyle name="Normal 4 6 2 6 3" xfId="6008" xr:uid="{00000000-0005-0000-0000-00004B160000}"/>
    <cellStyle name="Normal 4 6 2 6 3 2" xfId="15334" xr:uid="{22D846A1-59F4-44B1-B10D-2F093348B9CF}"/>
    <cellStyle name="Normal 4 6 2 6 4" xfId="11117" xr:uid="{7E41558C-D779-4211-8488-14DEAD8E7AB1}"/>
    <cellStyle name="Normal 4 6 2 7" xfId="2115" xr:uid="{00000000-0005-0000-0000-00004C160000}"/>
    <cellStyle name="Normal 4 6 2 7 2" xfId="4344" xr:uid="{00000000-0005-0000-0000-00004D160000}"/>
    <cellStyle name="Normal 4 6 2 7 2 2" xfId="8566" xr:uid="{00000000-0005-0000-0000-00004E160000}"/>
    <cellStyle name="Normal 4 6 2 7 2 2 2" xfId="17892" xr:uid="{D2BDF9F8-D85C-412E-A555-266A795846BF}"/>
    <cellStyle name="Normal 4 6 2 7 2 3" xfId="13675" xr:uid="{D6A9B907-41C4-46A3-AEA2-80CEB65548E6}"/>
    <cellStyle name="Normal 4 6 2 7 3" xfId="6421" xr:uid="{00000000-0005-0000-0000-00004F160000}"/>
    <cellStyle name="Normal 4 6 2 7 3 2" xfId="15747" xr:uid="{AA6F6FC4-8B51-4A8D-A29C-FE66D1883AFD}"/>
    <cellStyle name="Normal 4 6 2 7 4" xfId="11530" xr:uid="{110F4DF9-396A-49F6-8F22-78DE14B9F159}"/>
    <cellStyle name="Normal 4 6 2 8" xfId="2551" xr:uid="{00000000-0005-0000-0000-000050160000}"/>
    <cellStyle name="Normal 4 6 2 8 2" xfId="6834" xr:uid="{00000000-0005-0000-0000-000051160000}"/>
    <cellStyle name="Normal 4 6 2 8 2 2" xfId="16160" xr:uid="{5C974BEF-4974-4201-8E39-D6E04EB4A5DE}"/>
    <cellStyle name="Normal 4 6 2 8 3" xfId="11943" xr:uid="{55E26A82-3627-4016-B280-0E34CFCE6239}"/>
    <cellStyle name="Normal 4 6 2 9" xfId="4769" xr:uid="{00000000-0005-0000-0000-000052160000}"/>
    <cellStyle name="Normal 4 6 2 9 2" xfId="14095" xr:uid="{D98588C1-5728-4328-A099-5BD1404CB1F7}"/>
    <cellStyle name="Normal 4 6 3" xfId="400" xr:uid="{00000000-0005-0000-0000-000053160000}"/>
    <cellStyle name="Normal 4 6 3 10" xfId="9882" xr:uid="{D52B362F-9C59-4BE6-B3C5-771BDC00BA5A}"/>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2 2 2" xfId="16658" xr:uid="{979C91ED-0C5E-4B89-BCE5-95851D120769}"/>
    <cellStyle name="Normal 4 6 3 2 2 2 3" xfId="12441" xr:uid="{56BD5725-9984-4107-B069-D3D38BAC73D3}"/>
    <cellStyle name="Normal 4 6 3 2 2 3" xfId="5187" xr:uid="{00000000-0005-0000-0000-000058160000}"/>
    <cellStyle name="Normal 4 6 3 2 2 3 2" xfId="14513" xr:uid="{8EBCF576-8376-4C33-9B4B-AAB9ED22AE32}"/>
    <cellStyle name="Normal 4 6 3 2 2 4" xfId="9507" xr:uid="{63E4C3EA-8BE6-4CDE-9E44-1D64049D4CF5}"/>
    <cellStyle name="Normal 4 6 3 2 2 4 2" xfId="18822" xr:uid="{D8889CD2-3B9E-45A3-83FC-AAEA888CED98}"/>
    <cellStyle name="Normal 4 6 3 2 2 5" xfId="10296" xr:uid="{3E767E89-2F3C-49DC-B055-ED14162D7F78}"/>
    <cellStyle name="Normal 4 6 3 2 3" xfId="1293" xr:uid="{00000000-0005-0000-0000-000059160000}"/>
    <cellStyle name="Normal 4 6 3 2 3 2" xfId="3523" xr:uid="{00000000-0005-0000-0000-00005A160000}"/>
    <cellStyle name="Normal 4 6 3 2 3 2 2" xfId="7745" xr:uid="{00000000-0005-0000-0000-00005B160000}"/>
    <cellStyle name="Normal 4 6 3 2 3 2 2 2" xfId="17071" xr:uid="{34F4B416-C189-4BE4-ACA0-28CF3D193F48}"/>
    <cellStyle name="Normal 4 6 3 2 3 2 3" xfId="12854" xr:uid="{BBBDD4F0-9981-4F4E-9789-41B968AAB143}"/>
    <cellStyle name="Normal 4 6 3 2 3 3" xfId="5600" xr:uid="{00000000-0005-0000-0000-00005C160000}"/>
    <cellStyle name="Normal 4 6 3 2 3 3 2" xfId="14926" xr:uid="{92248A3D-54A5-4CF0-A313-1317C0B15F1D}"/>
    <cellStyle name="Normal 4 6 3 2 3 4" xfId="10709" xr:uid="{EA2FACA5-9817-4964-8970-DF1E2C45148F}"/>
    <cellStyle name="Normal 4 6 3 2 4" xfId="1706" xr:uid="{00000000-0005-0000-0000-00005D160000}"/>
    <cellStyle name="Normal 4 6 3 2 4 2" xfId="3936" xr:uid="{00000000-0005-0000-0000-00005E160000}"/>
    <cellStyle name="Normal 4 6 3 2 4 2 2" xfId="8158" xr:uid="{00000000-0005-0000-0000-00005F160000}"/>
    <cellStyle name="Normal 4 6 3 2 4 2 2 2" xfId="17484" xr:uid="{54979285-33A9-4E13-81F1-675F06B0ED09}"/>
    <cellStyle name="Normal 4 6 3 2 4 2 3" xfId="13267" xr:uid="{725FDFA1-A95D-4434-A050-1704A1035894}"/>
    <cellStyle name="Normal 4 6 3 2 4 3" xfId="6013" xr:uid="{00000000-0005-0000-0000-000060160000}"/>
    <cellStyle name="Normal 4 6 3 2 4 3 2" xfId="15339" xr:uid="{493E6966-7645-4211-8B15-84E78CB43E19}"/>
    <cellStyle name="Normal 4 6 3 2 4 4" xfId="11122" xr:uid="{62258159-7E9F-456B-86E7-072CBDEEEA0F}"/>
    <cellStyle name="Normal 4 6 3 2 5" xfId="2120" xr:uid="{00000000-0005-0000-0000-000061160000}"/>
    <cellStyle name="Normal 4 6 3 2 5 2" xfId="4349" xr:uid="{00000000-0005-0000-0000-000062160000}"/>
    <cellStyle name="Normal 4 6 3 2 5 2 2" xfId="8571" xr:uid="{00000000-0005-0000-0000-000063160000}"/>
    <cellStyle name="Normal 4 6 3 2 5 2 2 2" xfId="17897" xr:uid="{3977DBFE-02BB-470E-B85A-C2A7E0B77CBC}"/>
    <cellStyle name="Normal 4 6 3 2 5 2 3" xfId="13680" xr:uid="{0E64BE65-79EF-4820-AE7E-A7B62A8C902B}"/>
    <cellStyle name="Normal 4 6 3 2 5 3" xfId="6426" xr:uid="{00000000-0005-0000-0000-000064160000}"/>
    <cellStyle name="Normal 4 6 3 2 5 3 2" xfId="15752" xr:uid="{D158D8B2-C749-48AA-9D94-3BA470D284B4}"/>
    <cellStyle name="Normal 4 6 3 2 5 4" xfId="11535" xr:uid="{5376F6D7-8532-4E05-AC3E-DFF27737ADAE}"/>
    <cellStyle name="Normal 4 6 3 2 6" xfId="2556" xr:uid="{00000000-0005-0000-0000-000065160000}"/>
    <cellStyle name="Normal 4 6 3 2 6 2" xfId="6839" xr:uid="{00000000-0005-0000-0000-000066160000}"/>
    <cellStyle name="Normal 4 6 3 2 6 2 2" xfId="16165" xr:uid="{9C2561EB-AD6B-43E5-873A-CA21129FBC2A}"/>
    <cellStyle name="Normal 4 6 3 2 6 3" xfId="11948" xr:uid="{1264A11E-063F-4ACA-8990-743925B9E70F}"/>
    <cellStyle name="Normal 4 6 3 2 7" xfId="4774" xr:uid="{00000000-0005-0000-0000-000067160000}"/>
    <cellStyle name="Normal 4 6 3 2 7 2" xfId="14100" xr:uid="{EC823B12-CF55-4068-9DA6-DB6C465731EE}"/>
    <cellStyle name="Normal 4 6 3 2 8" xfId="9082" xr:uid="{B272D1AE-3713-4AD0-AE3F-D1A7344AD432}"/>
    <cellStyle name="Normal 4 6 3 2 8 2" xfId="18406" xr:uid="{80B9670A-84E6-4037-B0A7-5872DEE25D85}"/>
    <cellStyle name="Normal 4 6 3 2 9" xfId="9883" xr:uid="{AAA3A509-3D95-4086-BD82-39BEA7393D73}"/>
    <cellStyle name="Normal 4 6 3 3" xfId="874" xr:uid="{00000000-0005-0000-0000-000068160000}"/>
    <cellStyle name="Normal 4 6 3 3 2" xfId="3109" xr:uid="{00000000-0005-0000-0000-000069160000}"/>
    <cellStyle name="Normal 4 6 3 3 2 2" xfId="7331" xr:uid="{00000000-0005-0000-0000-00006A160000}"/>
    <cellStyle name="Normal 4 6 3 3 2 2 2" xfId="16657" xr:uid="{2E6E9FE4-1424-412D-BE74-A8D8ECE28A17}"/>
    <cellStyle name="Normal 4 6 3 3 2 3" xfId="12440" xr:uid="{E844462E-F16D-4A0A-B1E9-28C8915EE9B5}"/>
    <cellStyle name="Normal 4 6 3 3 3" xfId="5186" xr:uid="{00000000-0005-0000-0000-00006B160000}"/>
    <cellStyle name="Normal 4 6 3 3 3 2" xfId="14512" xr:uid="{C0B9AB90-227A-459A-91DA-3F2AA807DFD3}"/>
    <cellStyle name="Normal 4 6 3 3 4" xfId="9300" xr:uid="{955A2E97-C871-4115-A4F5-A642AE2D2C4B}"/>
    <cellStyle name="Normal 4 6 3 3 4 2" xfId="18615" xr:uid="{14F6707D-8AEA-4D2B-9AF8-80294D494062}"/>
    <cellStyle name="Normal 4 6 3 3 5" xfId="10295" xr:uid="{0CB3A03A-1DC6-4A7C-B09C-D3D824E44C4A}"/>
    <cellStyle name="Normal 4 6 3 4" xfId="1292" xr:uid="{00000000-0005-0000-0000-00006C160000}"/>
    <cellStyle name="Normal 4 6 3 4 2" xfId="3522" xr:uid="{00000000-0005-0000-0000-00006D160000}"/>
    <cellStyle name="Normal 4 6 3 4 2 2" xfId="7744" xr:uid="{00000000-0005-0000-0000-00006E160000}"/>
    <cellStyle name="Normal 4 6 3 4 2 2 2" xfId="17070" xr:uid="{485A4B5C-1D1B-4D42-8ACA-CC2AF8BE74DC}"/>
    <cellStyle name="Normal 4 6 3 4 2 3" xfId="12853" xr:uid="{D0DD4B3A-6C3C-435F-A282-617A0488597C}"/>
    <cellStyle name="Normal 4 6 3 4 3" xfId="5599" xr:uid="{00000000-0005-0000-0000-00006F160000}"/>
    <cellStyle name="Normal 4 6 3 4 3 2" xfId="14925" xr:uid="{9CA5DEC9-234C-4020-8A6C-17A1F55F2EB5}"/>
    <cellStyle name="Normal 4 6 3 4 4" xfId="10708" xr:uid="{94D8A650-50EF-4B71-9E33-73A0BF2AECF7}"/>
    <cellStyle name="Normal 4 6 3 5" xfId="1705" xr:uid="{00000000-0005-0000-0000-000070160000}"/>
    <cellStyle name="Normal 4 6 3 5 2" xfId="3935" xr:uid="{00000000-0005-0000-0000-000071160000}"/>
    <cellStyle name="Normal 4 6 3 5 2 2" xfId="8157" xr:uid="{00000000-0005-0000-0000-000072160000}"/>
    <cellStyle name="Normal 4 6 3 5 2 2 2" xfId="17483" xr:uid="{53435E58-E705-4639-A9FB-B9FE830558B4}"/>
    <cellStyle name="Normal 4 6 3 5 2 3" xfId="13266" xr:uid="{4DA4A7B6-F1EC-492C-924E-E5B76B24478D}"/>
    <cellStyle name="Normal 4 6 3 5 3" xfId="6012" xr:uid="{00000000-0005-0000-0000-000073160000}"/>
    <cellStyle name="Normal 4 6 3 5 3 2" xfId="15338" xr:uid="{F3AC61A9-3902-488A-A700-5206E147A581}"/>
    <cellStyle name="Normal 4 6 3 5 4" xfId="11121" xr:uid="{50ED4406-A6A1-4A8A-BEE2-13F176A5A8E6}"/>
    <cellStyle name="Normal 4 6 3 6" xfId="2119" xr:uid="{00000000-0005-0000-0000-000074160000}"/>
    <cellStyle name="Normal 4 6 3 6 2" xfId="4348" xr:uid="{00000000-0005-0000-0000-000075160000}"/>
    <cellStyle name="Normal 4 6 3 6 2 2" xfId="8570" xr:uid="{00000000-0005-0000-0000-000076160000}"/>
    <cellStyle name="Normal 4 6 3 6 2 2 2" xfId="17896" xr:uid="{1897D313-9EBF-49F0-B4FD-E09ADDB0BCFC}"/>
    <cellStyle name="Normal 4 6 3 6 2 3" xfId="13679" xr:uid="{5F8070B3-F045-4455-A9A4-00E592D994B0}"/>
    <cellStyle name="Normal 4 6 3 6 3" xfId="6425" xr:uid="{00000000-0005-0000-0000-000077160000}"/>
    <cellStyle name="Normal 4 6 3 6 3 2" xfId="15751" xr:uid="{C6AC235B-ED90-43DB-9587-103D020B1F34}"/>
    <cellStyle name="Normal 4 6 3 6 4" xfId="11534" xr:uid="{8E0CEF79-A5FC-43DE-9012-356DE028372B}"/>
    <cellStyle name="Normal 4 6 3 7" xfId="2555" xr:uid="{00000000-0005-0000-0000-000078160000}"/>
    <cellStyle name="Normal 4 6 3 7 2" xfId="6838" xr:uid="{00000000-0005-0000-0000-000079160000}"/>
    <cellStyle name="Normal 4 6 3 7 2 2" xfId="16164" xr:uid="{30E871F7-11A1-4935-92E8-04EA0167E655}"/>
    <cellStyle name="Normal 4 6 3 7 3" xfId="11947" xr:uid="{D6139677-08FE-4F78-A939-CE1E5176E129}"/>
    <cellStyle name="Normal 4 6 3 8" xfId="4773" xr:uid="{00000000-0005-0000-0000-00007A160000}"/>
    <cellStyle name="Normal 4 6 3 8 2" xfId="14099" xr:uid="{679A2C19-45D2-4393-AB76-170B0F949E7C}"/>
    <cellStyle name="Normal 4 6 3 9" xfId="8875" xr:uid="{DFD24C28-B729-444D-A0F6-B5522ED354D5}"/>
    <cellStyle name="Normal 4 6 3 9 2" xfId="18199" xr:uid="{7EC9A4ED-F818-4F69-A705-B996B2816803}"/>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2 2 2" xfId="16659" xr:uid="{0FCAABBE-62B9-4675-A818-844817A92449}"/>
    <cellStyle name="Normal 4 6 4 2 2 3" xfId="12442" xr:uid="{A31AEA10-7B3E-4F4B-B2F1-D8FDED89339A}"/>
    <cellStyle name="Normal 4 6 4 2 3" xfId="5188" xr:uid="{00000000-0005-0000-0000-00007F160000}"/>
    <cellStyle name="Normal 4 6 4 2 3 2" xfId="14514" xr:uid="{2B6B33CE-C6B6-44EB-A3A7-F0B197A52432}"/>
    <cellStyle name="Normal 4 6 4 2 4" xfId="9404" xr:uid="{D1BAB6D6-35EF-4C34-91EA-2EB17352CDF9}"/>
    <cellStyle name="Normal 4 6 4 2 4 2" xfId="18719" xr:uid="{38A6CFCB-C66F-451D-A7C6-963D966BC33A}"/>
    <cellStyle name="Normal 4 6 4 2 5" xfId="10297" xr:uid="{6FBF7323-A14F-44AF-9F1B-738ED277EBEF}"/>
    <cellStyle name="Normal 4 6 4 3" xfId="1294" xr:uid="{00000000-0005-0000-0000-000080160000}"/>
    <cellStyle name="Normal 4 6 4 3 2" xfId="3524" xr:uid="{00000000-0005-0000-0000-000081160000}"/>
    <cellStyle name="Normal 4 6 4 3 2 2" xfId="7746" xr:uid="{00000000-0005-0000-0000-000082160000}"/>
    <cellStyle name="Normal 4 6 4 3 2 2 2" xfId="17072" xr:uid="{32415738-2D34-4731-A58A-5494F0D6F43A}"/>
    <cellStyle name="Normal 4 6 4 3 2 3" xfId="12855" xr:uid="{6A21421E-9F31-4AD6-993C-09CFE207424F}"/>
    <cellStyle name="Normal 4 6 4 3 3" xfId="5601" xr:uid="{00000000-0005-0000-0000-000083160000}"/>
    <cellStyle name="Normal 4 6 4 3 3 2" xfId="14927" xr:uid="{A339EC46-9944-400E-89E7-300EAE569B00}"/>
    <cellStyle name="Normal 4 6 4 3 4" xfId="10710" xr:uid="{D655C7BB-E3BA-4D76-8EDA-9593940EC92D}"/>
    <cellStyle name="Normal 4 6 4 4" xfId="1707" xr:uid="{00000000-0005-0000-0000-000084160000}"/>
    <cellStyle name="Normal 4 6 4 4 2" xfId="3937" xr:uid="{00000000-0005-0000-0000-000085160000}"/>
    <cellStyle name="Normal 4 6 4 4 2 2" xfId="8159" xr:uid="{00000000-0005-0000-0000-000086160000}"/>
    <cellStyle name="Normal 4 6 4 4 2 2 2" xfId="17485" xr:uid="{D62D8D5C-33B4-44DC-A3B0-3DAC55F97C6B}"/>
    <cellStyle name="Normal 4 6 4 4 2 3" xfId="13268" xr:uid="{E5188335-E120-4F71-B774-73B3BBDDBA14}"/>
    <cellStyle name="Normal 4 6 4 4 3" xfId="6014" xr:uid="{00000000-0005-0000-0000-000087160000}"/>
    <cellStyle name="Normal 4 6 4 4 3 2" xfId="15340" xr:uid="{5E089574-62AC-457C-877B-590BC988A38C}"/>
    <cellStyle name="Normal 4 6 4 4 4" xfId="11123" xr:uid="{F800D72F-7D7F-4376-AD1F-E434A9249860}"/>
    <cellStyle name="Normal 4 6 4 5" xfId="2121" xr:uid="{00000000-0005-0000-0000-000088160000}"/>
    <cellStyle name="Normal 4 6 4 5 2" xfId="4350" xr:uid="{00000000-0005-0000-0000-000089160000}"/>
    <cellStyle name="Normal 4 6 4 5 2 2" xfId="8572" xr:uid="{00000000-0005-0000-0000-00008A160000}"/>
    <cellStyle name="Normal 4 6 4 5 2 2 2" xfId="17898" xr:uid="{B5243F94-998C-4B16-9664-6EE1036B2BFA}"/>
    <cellStyle name="Normal 4 6 4 5 2 3" xfId="13681" xr:uid="{EC17339F-EAE8-4F3D-AC98-5BF5FC3D60C6}"/>
    <cellStyle name="Normal 4 6 4 5 3" xfId="6427" xr:uid="{00000000-0005-0000-0000-00008B160000}"/>
    <cellStyle name="Normal 4 6 4 5 3 2" xfId="15753" xr:uid="{FC685695-C5E4-472F-8215-E7DC34920F0E}"/>
    <cellStyle name="Normal 4 6 4 5 4" xfId="11536" xr:uid="{7F6B0D13-7FE9-401F-B560-F9D213CF3173}"/>
    <cellStyle name="Normal 4 6 4 6" xfId="2557" xr:uid="{00000000-0005-0000-0000-00008C160000}"/>
    <cellStyle name="Normal 4 6 4 6 2" xfId="6840" xr:uid="{00000000-0005-0000-0000-00008D160000}"/>
    <cellStyle name="Normal 4 6 4 6 2 2" xfId="16166" xr:uid="{90CE34B0-69C8-4A6E-9ADD-EAB302688170}"/>
    <cellStyle name="Normal 4 6 4 6 3" xfId="11949" xr:uid="{31B5697B-2446-4193-AEC3-2866D81C600B}"/>
    <cellStyle name="Normal 4 6 4 7" xfId="4775" xr:uid="{00000000-0005-0000-0000-00008E160000}"/>
    <cellStyle name="Normal 4 6 4 7 2" xfId="14101" xr:uid="{4139D5F8-3B3E-4B3D-BDE9-8E77F7FB5AB3}"/>
    <cellStyle name="Normal 4 6 4 8" xfId="8979" xr:uid="{358D1440-F461-4509-8416-8F78F7D13FF4}"/>
    <cellStyle name="Normal 4 6 4 8 2" xfId="18303" xr:uid="{E57DCE14-A8B3-4C0E-BC77-F39080D6D04A}"/>
    <cellStyle name="Normal 4 6 4 9" xfId="9884" xr:uid="{00E861FD-48A7-465D-BA69-3CA4ED3C6F1B}"/>
    <cellStyle name="Normal 4 6 5" xfId="869" xr:uid="{00000000-0005-0000-0000-00008F160000}"/>
    <cellStyle name="Normal 4 6 5 2" xfId="3104" xr:uid="{00000000-0005-0000-0000-000090160000}"/>
    <cellStyle name="Normal 4 6 5 2 2" xfId="7326" xr:uid="{00000000-0005-0000-0000-000091160000}"/>
    <cellStyle name="Normal 4 6 5 2 2 2" xfId="16652" xr:uid="{18C4D709-5C43-4293-B31F-A39702D84272}"/>
    <cellStyle name="Normal 4 6 5 2 3" xfId="12435" xr:uid="{D8A294B2-921C-4376-A076-8C290D526115}"/>
    <cellStyle name="Normal 4 6 5 3" xfId="5181" xr:uid="{00000000-0005-0000-0000-000092160000}"/>
    <cellStyle name="Normal 4 6 5 3 2" xfId="14507" xr:uid="{6FC49064-E98A-48FB-8F92-AD79C05FE00C}"/>
    <cellStyle name="Normal 4 6 5 4" xfId="9196" xr:uid="{8DF5D81E-BEC3-4373-A99C-2D9CDEEBBA3C}"/>
    <cellStyle name="Normal 4 6 5 4 2" xfId="18512" xr:uid="{60B1DF1D-9BD1-40C7-96AC-821ECC670EDC}"/>
    <cellStyle name="Normal 4 6 5 5" xfId="10290" xr:uid="{CE75F3E5-4FC0-450B-B9F6-868D64D9F3A8}"/>
    <cellStyle name="Normal 4 6 6" xfId="1287" xr:uid="{00000000-0005-0000-0000-000093160000}"/>
    <cellStyle name="Normal 4 6 6 2" xfId="3517" xr:uid="{00000000-0005-0000-0000-000094160000}"/>
    <cellStyle name="Normal 4 6 6 2 2" xfId="7739" xr:uid="{00000000-0005-0000-0000-000095160000}"/>
    <cellStyle name="Normal 4 6 6 2 2 2" xfId="17065" xr:uid="{063A472B-530F-45CE-BAFB-B9562D272734}"/>
    <cellStyle name="Normal 4 6 6 2 3" xfId="12848" xr:uid="{229074B7-36F8-44FF-8F6C-B77D9842823C}"/>
    <cellStyle name="Normal 4 6 6 3" xfId="5594" xr:uid="{00000000-0005-0000-0000-000096160000}"/>
    <cellStyle name="Normal 4 6 6 3 2" xfId="14920" xr:uid="{D3FA8F5A-45BE-4024-97C9-DD796A73DE93}"/>
    <cellStyle name="Normal 4 6 6 4" xfId="10703" xr:uid="{C22B4BD5-89A1-41BD-B807-AD62C9B3EDFA}"/>
    <cellStyle name="Normal 4 6 7" xfId="1700" xr:uid="{00000000-0005-0000-0000-000097160000}"/>
    <cellStyle name="Normal 4 6 7 2" xfId="3930" xr:uid="{00000000-0005-0000-0000-000098160000}"/>
    <cellStyle name="Normal 4 6 7 2 2" xfId="8152" xr:uid="{00000000-0005-0000-0000-000099160000}"/>
    <cellStyle name="Normal 4 6 7 2 2 2" xfId="17478" xr:uid="{7DB27AFF-549A-4078-AE51-890060D5D156}"/>
    <cellStyle name="Normal 4 6 7 2 3" xfId="13261" xr:uid="{D2DF15A4-2A39-48F0-91F3-F4E3AE25D501}"/>
    <cellStyle name="Normal 4 6 7 3" xfId="6007" xr:uid="{00000000-0005-0000-0000-00009A160000}"/>
    <cellStyle name="Normal 4 6 7 3 2" xfId="15333" xr:uid="{AC1C74F5-6C67-42D8-95DC-1561F3D90913}"/>
    <cellStyle name="Normal 4 6 7 4" xfId="11116" xr:uid="{328F44B2-D4F2-4FFC-A205-793A74489A08}"/>
    <cellStyle name="Normal 4 6 8" xfId="2114" xr:uid="{00000000-0005-0000-0000-00009B160000}"/>
    <cellStyle name="Normal 4 6 8 2" xfId="4343" xr:uid="{00000000-0005-0000-0000-00009C160000}"/>
    <cellStyle name="Normal 4 6 8 2 2" xfId="8565" xr:uid="{00000000-0005-0000-0000-00009D160000}"/>
    <cellStyle name="Normal 4 6 8 2 2 2" xfId="17891" xr:uid="{4621C130-6B4E-4B31-B0E4-3AEB93F95D46}"/>
    <cellStyle name="Normal 4 6 8 2 3" xfId="13674" xr:uid="{C9A3BFA0-4164-40F7-909C-909CB4DE1969}"/>
    <cellStyle name="Normal 4 6 8 3" xfId="6420" xr:uid="{00000000-0005-0000-0000-00009E160000}"/>
    <cellStyle name="Normal 4 6 8 3 2" xfId="15746" xr:uid="{FB3E69E9-CB2E-4B0F-A6EE-7083E146CD88}"/>
    <cellStyle name="Normal 4 6 8 4" xfId="11529" xr:uid="{909ECF63-E34A-4C84-BCFE-F2D896450234}"/>
    <cellStyle name="Normal 4 6 9" xfId="2550" xr:uid="{00000000-0005-0000-0000-00009F160000}"/>
    <cellStyle name="Normal 4 6 9 2" xfId="6833" xr:uid="{00000000-0005-0000-0000-0000A0160000}"/>
    <cellStyle name="Normal 4 6 9 2 2" xfId="16159" xr:uid="{D5300ACF-F7CA-4DEE-AEFE-F4B56DE8CB21}"/>
    <cellStyle name="Normal 4 6 9 3" xfId="11942" xr:uid="{4C16EAED-30BA-4383-A89D-88D4D64B7F82}"/>
    <cellStyle name="Normal 4 7" xfId="403" xr:uid="{00000000-0005-0000-0000-0000A1160000}"/>
    <cellStyle name="Normal 4 7 10" xfId="9885" xr:uid="{7DA71EE1-0FDB-4664-B9FF-48CC5420F043}"/>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2 2 2" xfId="16661" xr:uid="{B66FEE0A-391B-4085-B89C-8423BFD14B4E}"/>
    <cellStyle name="Normal 4 7 2 2 2 3" xfId="12444" xr:uid="{5FC13AAF-13E4-4075-A320-F3994BC51CF1}"/>
    <cellStyle name="Normal 4 7 2 2 3" xfId="5190" xr:uid="{00000000-0005-0000-0000-0000A6160000}"/>
    <cellStyle name="Normal 4 7 2 2 3 2" xfId="14516" xr:uid="{258E32ED-DDA7-4B8D-8E00-BF26EEA6049F}"/>
    <cellStyle name="Normal 4 7 2 2 4" xfId="9475" xr:uid="{1E309EF6-7D7C-4A4D-B2F1-E00D0CF6E167}"/>
    <cellStyle name="Normal 4 7 2 2 4 2" xfId="18790" xr:uid="{640678E3-7368-4FD9-A511-85B688D6F7D9}"/>
    <cellStyle name="Normal 4 7 2 2 5" xfId="10299" xr:uid="{E0CEB09E-80DE-492A-B647-4AF6B5D25710}"/>
    <cellStyle name="Normal 4 7 2 3" xfId="1296" xr:uid="{00000000-0005-0000-0000-0000A7160000}"/>
    <cellStyle name="Normal 4 7 2 3 2" xfId="3526" xr:uid="{00000000-0005-0000-0000-0000A8160000}"/>
    <cellStyle name="Normal 4 7 2 3 2 2" xfId="7748" xr:uid="{00000000-0005-0000-0000-0000A9160000}"/>
    <cellStyle name="Normal 4 7 2 3 2 2 2" xfId="17074" xr:uid="{C843971D-A519-486E-84FB-5BBD60D0150F}"/>
    <cellStyle name="Normal 4 7 2 3 2 3" xfId="12857" xr:uid="{5AA8C222-52DE-4E00-9869-3F85C846D3B7}"/>
    <cellStyle name="Normal 4 7 2 3 3" xfId="5603" xr:uid="{00000000-0005-0000-0000-0000AA160000}"/>
    <cellStyle name="Normal 4 7 2 3 3 2" xfId="14929" xr:uid="{80F8F489-9AB7-4B44-A8DB-E8C052FEC656}"/>
    <cellStyle name="Normal 4 7 2 3 4" xfId="10712" xr:uid="{95F4DCB9-9567-485E-A08E-877B0150AD06}"/>
    <cellStyle name="Normal 4 7 2 4" xfId="1709" xr:uid="{00000000-0005-0000-0000-0000AB160000}"/>
    <cellStyle name="Normal 4 7 2 4 2" xfId="3939" xr:uid="{00000000-0005-0000-0000-0000AC160000}"/>
    <cellStyle name="Normal 4 7 2 4 2 2" xfId="8161" xr:uid="{00000000-0005-0000-0000-0000AD160000}"/>
    <cellStyle name="Normal 4 7 2 4 2 2 2" xfId="17487" xr:uid="{60041C11-2C52-47CB-BD82-C005ECC88ED8}"/>
    <cellStyle name="Normal 4 7 2 4 2 3" xfId="13270" xr:uid="{0B9786E1-D7FF-4DFB-9E5B-97D2AE40C585}"/>
    <cellStyle name="Normal 4 7 2 4 3" xfId="6016" xr:uid="{00000000-0005-0000-0000-0000AE160000}"/>
    <cellStyle name="Normal 4 7 2 4 3 2" xfId="15342" xr:uid="{D32D1C35-992B-4DFA-A51E-EA62E299AF9D}"/>
    <cellStyle name="Normal 4 7 2 4 4" xfId="11125" xr:uid="{F31250E5-39E8-45BB-8831-32AEC26A96D0}"/>
    <cellStyle name="Normal 4 7 2 5" xfId="2123" xr:uid="{00000000-0005-0000-0000-0000AF160000}"/>
    <cellStyle name="Normal 4 7 2 5 2" xfId="4352" xr:uid="{00000000-0005-0000-0000-0000B0160000}"/>
    <cellStyle name="Normal 4 7 2 5 2 2" xfId="8574" xr:uid="{00000000-0005-0000-0000-0000B1160000}"/>
    <cellStyle name="Normal 4 7 2 5 2 2 2" xfId="17900" xr:uid="{AF37EFF3-0B54-468D-B17A-44AC41AE6FE8}"/>
    <cellStyle name="Normal 4 7 2 5 2 3" xfId="13683" xr:uid="{5615D7EC-9670-456F-B320-92628A68EF9E}"/>
    <cellStyle name="Normal 4 7 2 5 3" xfId="6429" xr:uid="{00000000-0005-0000-0000-0000B2160000}"/>
    <cellStyle name="Normal 4 7 2 5 3 2" xfId="15755" xr:uid="{2282289C-9B81-4966-95A8-1633289E1E35}"/>
    <cellStyle name="Normal 4 7 2 5 4" xfId="11538" xr:uid="{11CDEF28-F107-4CF1-994B-0008AACF6800}"/>
    <cellStyle name="Normal 4 7 2 6" xfId="2559" xr:uid="{00000000-0005-0000-0000-0000B3160000}"/>
    <cellStyle name="Normal 4 7 2 6 2" xfId="6842" xr:uid="{00000000-0005-0000-0000-0000B4160000}"/>
    <cellStyle name="Normal 4 7 2 6 2 2" xfId="16168" xr:uid="{FD0EA0EC-869E-4A38-9D9E-6191E7E27746}"/>
    <cellStyle name="Normal 4 7 2 6 3" xfId="11951" xr:uid="{A67AED69-8F78-4F20-B8A2-D5C24FF035AC}"/>
    <cellStyle name="Normal 4 7 2 7" xfId="4777" xr:uid="{00000000-0005-0000-0000-0000B5160000}"/>
    <cellStyle name="Normal 4 7 2 7 2" xfId="14103" xr:uid="{2DAA7726-44C2-4D2E-A7DA-1D0950459FDE}"/>
    <cellStyle name="Normal 4 7 2 8" xfId="9050" xr:uid="{C18A0BCD-6C40-47C4-AC72-E06914F008F6}"/>
    <cellStyle name="Normal 4 7 2 8 2" xfId="18374" xr:uid="{88BC868A-A3C4-451F-9F6B-A9FD8BB1EACA}"/>
    <cellStyle name="Normal 4 7 2 9" xfId="9886" xr:uid="{3D290625-3EA8-495E-B665-BA1778AE9066}"/>
    <cellStyle name="Normal 4 7 3" xfId="877" xr:uid="{00000000-0005-0000-0000-0000B6160000}"/>
    <cellStyle name="Normal 4 7 3 2" xfId="3112" xr:uid="{00000000-0005-0000-0000-0000B7160000}"/>
    <cellStyle name="Normal 4 7 3 2 2" xfId="7334" xr:uid="{00000000-0005-0000-0000-0000B8160000}"/>
    <cellStyle name="Normal 4 7 3 2 2 2" xfId="16660" xr:uid="{57B0D903-3471-4903-A34E-0C3623A25B71}"/>
    <cellStyle name="Normal 4 7 3 2 3" xfId="12443" xr:uid="{2CAFBB0F-29CB-480B-A181-CFA3C41825D0}"/>
    <cellStyle name="Normal 4 7 3 3" xfId="5189" xr:uid="{00000000-0005-0000-0000-0000B9160000}"/>
    <cellStyle name="Normal 4 7 3 3 2" xfId="14515" xr:uid="{CD132361-3BE7-440C-B79C-D8FA2A0583EB}"/>
    <cellStyle name="Normal 4 7 3 4" xfId="9268" xr:uid="{83DA99B2-5D77-4110-AEB9-304D3ECEF3EB}"/>
    <cellStyle name="Normal 4 7 3 4 2" xfId="18583" xr:uid="{8F0DA688-8B59-4430-A7DC-62EA6CD119E8}"/>
    <cellStyle name="Normal 4 7 3 5" xfId="10298" xr:uid="{01ACE69F-9C20-488E-821C-D4A228F15B7A}"/>
    <cellStyle name="Normal 4 7 4" xfId="1295" xr:uid="{00000000-0005-0000-0000-0000BA160000}"/>
    <cellStyle name="Normal 4 7 4 2" xfId="3525" xr:uid="{00000000-0005-0000-0000-0000BB160000}"/>
    <cellStyle name="Normal 4 7 4 2 2" xfId="7747" xr:uid="{00000000-0005-0000-0000-0000BC160000}"/>
    <cellStyle name="Normal 4 7 4 2 2 2" xfId="17073" xr:uid="{EEAF2146-AEBC-4F5F-991A-AEE7E947758B}"/>
    <cellStyle name="Normal 4 7 4 2 3" xfId="12856" xr:uid="{DB3742BA-036F-4D89-971E-3BC7DDEAB262}"/>
    <cellStyle name="Normal 4 7 4 3" xfId="5602" xr:uid="{00000000-0005-0000-0000-0000BD160000}"/>
    <cellStyle name="Normal 4 7 4 3 2" xfId="14928" xr:uid="{7003CB4B-2095-47B2-B579-208EC85284CE}"/>
    <cellStyle name="Normal 4 7 4 4" xfId="10711" xr:uid="{832B42D3-72C3-4E46-B63D-37E0936368C4}"/>
    <cellStyle name="Normal 4 7 5" xfId="1708" xr:uid="{00000000-0005-0000-0000-0000BE160000}"/>
    <cellStyle name="Normal 4 7 5 2" xfId="3938" xr:uid="{00000000-0005-0000-0000-0000BF160000}"/>
    <cellStyle name="Normal 4 7 5 2 2" xfId="8160" xr:uid="{00000000-0005-0000-0000-0000C0160000}"/>
    <cellStyle name="Normal 4 7 5 2 2 2" xfId="17486" xr:uid="{2BB337CA-3F45-4CEE-826D-7BE380C31D65}"/>
    <cellStyle name="Normal 4 7 5 2 3" xfId="13269" xr:uid="{CC865F01-ECED-4377-B058-5D7DE17D0369}"/>
    <cellStyle name="Normal 4 7 5 3" xfId="6015" xr:uid="{00000000-0005-0000-0000-0000C1160000}"/>
    <cellStyle name="Normal 4 7 5 3 2" xfId="15341" xr:uid="{29717768-E466-4EB5-A5C2-8C45440ACFB2}"/>
    <cellStyle name="Normal 4 7 5 4" xfId="11124" xr:uid="{915B6B47-4E05-465B-A5D3-8BF1C4782197}"/>
    <cellStyle name="Normal 4 7 6" xfId="2122" xr:uid="{00000000-0005-0000-0000-0000C2160000}"/>
    <cellStyle name="Normal 4 7 6 2" xfId="4351" xr:uid="{00000000-0005-0000-0000-0000C3160000}"/>
    <cellStyle name="Normal 4 7 6 2 2" xfId="8573" xr:uid="{00000000-0005-0000-0000-0000C4160000}"/>
    <cellStyle name="Normal 4 7 6 2 2 2" xfId="17899" xr:uid="{8FD6575D-A92E-4B97-8E78-C86371A02CAC}"/>
    <cellStyle name="Normal 4 7 6 2 3" xfId="13682" xr:uid="{317CABC3-2E51-4B8E-81E2-CBC41687BBBD}"/>
    <cellStyle name="Normal 4 7 6 3" xfId="6428" xr:uid="{00000000-0005-0000-0000-0000C5160000}"/>
    <cellStyle name="Normal 4 7 6 3 2" xfId="15754" xr:uid="{60B8C004-EB93-467B-9187-8C75FF951ACC}"/>
    <cellStyle name="Normal 4 7 6 4" xfId="11537" xr:uid="{9F60BCC8-7EA1-4CC8-B61C-4666812C2476}"/>
    <cellStyle name="Normal 4 7 7" xfId="2558" xr:uid="{00000000-0005-0000-0000-0000C6160000}"/>
    <cellStyle name="Normal 4 7 7 2" xfId="6841" xr:uid="{00000000-0005-0000-0000-0000C7160000}"/>
    <cellStyle name="Normal 4 7 7 2 2" xfId="16167" xr:uid="{A0A7E0F8-E32A-45CE-A633-7F2A9088111B}"/>
    <cellStyle name="Normal 4 7 7 3" xfId="11950" xr:uid="{012D0CD9-79F6-46EB-9295-25728B127DD9}"/>
    <cellStyle name="Normal 4 7 8" xfId="4776" xr:uid="{00000000-0005-0000-0000-0000C8160000}"/>
    <cellStyle name="Normal 4 7 8 2" xfId="14102" xr:uid="{CB27FF3D-4C40-41C5-A327-FAC1B06C42AF}"/>
    <cellStyle name="Normal 4 7 9" xfId="8843" xr:uid="{092972D9-0015-4C5A-94A6-5AFD2026266B}"/>
    <cellStyle name="Normal 4 7 9 2" xfId="18167" xr:uid="{ABE5B853-75F6-4EEF-9E70-FCD177400F30}"/>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2 2 2" xfId="16662" xr:uid="{0CE31820-DBED-4B4A-ACAB-6960D3E93CC0}"/>
    <cellStyle name="Normal 4 8 2 2 3" xfId="12445" xr:uid="{0733CE10-A8C4-46EE-921E-D2A25C830C85}"/>
    <cellStyle name="Normal 4 8 2 3" xfId="5191" xr:uid="{00000000-0005-0000-0000-0000CD160000}"/>
    <cellStyle name="Normal 4 8 2 3 2" xfId="14517" xr:uid="{0239B01D-681E-4B0D-A45F-504F92B4F4C0}"/>
    <cellStyle name="Normal 4 8 2 4" xfId="9384" xr:uid="{6351F1DA-E485-4044-8429-C0AE76E79EEE}"/>
    <cellStyle name="Normal 4 8 2 4 2" xfId="18699" xr:uid="{946D2DC3-0F55-4A6F-8D4A-CB3348529450}"/>
    <cellStyle name="Normal 4 8 2 5" xfId="10300" xr:uid="{42D60947-49D0-4254-B92B-14EAF1229632}"/>
    <cellStyle name="Normal 4 8 3" xfId="1297" xr:uid="{00000000-0005-0000-0000-0000CE160000}"/>
    <cellStyle name="Normal 4 8 3 2" xfId="3527" xr:uid="{00000000-0005-0000-0000-0000CF160000}"/>
    <cellStyle name="Normal 4 8 3 2 2" xfId="7749" xr:uid="{00000000-0005-0000-0000-0000D0160000}"/>
    <cellStyle name="Normal 4 8 3 2 2 2" xfId="17075" xr:uid="{4A9C51F6-1A59-4C68-85E3-6A88B774BC50}"/>
    <cellStyle name="Normal 4 8 3 2 3" xfId="12858" xr:uid="{6AD539CF-7AB5-4ACD-B939-4532CAD44FB9}"/>
    <cellStyle name="Normal 4 8 3 3" xfId="5604" xr:uid="{00000000-0005-0000-0000-0000D1160000}"/>
    <cellStyle name="Normal 4 8 3 3 2" xfId="14930" xr:uid="{3FEFDA14-DDFC-4B39-A3CB-15F8D386D9A3}"/>
    <cellStyle name="Normal 4 8 3 4" xfId="10713" xr:uid="{0D09C310-E09C-4AFF-9A73-BABA8AF566F0}"/>
    <cellStyle name="Normal 4 8 4" xfId="1710" xr:uid="{00000000-0005-0000-0000-0000D2160000}"/>
    <cellStyle name="Normal 4 8 4 2" xfId="3940" xr:uid="{00000000-0005-0000-0000-0000D3160000}"/>
    <cellStyle name="Normal 4 8 4 2 2" xfId="8162" xr:uid="{00000000-0005-0000-0000-0000D4160000}"/>
    <cellStyle name="Normal 4 8 4 2 2 2" xfId="17488" xr:uid="{0CEC08F4-E4BD-483B-BB8E-BB5A0BDD45B7}"/>
    <cellStyle name="Normal 4 8 4 2 3" xfId="13271" xr:uid="{2BD66D1C-704C-4786-8459-4B452AEE7508}"/>
    <cellStyle name="Normal 4 8 4 3" xfId="6017" xr:uid="{00000000-0005-0000-0000-0000D5160000}"/>
    <cellStyle name="Normal 4 8 4 3 2" xfId="15343" xr:uid="{AB889DED-8A8C-4FE0-81E5-3CAD5A553863}"/>
    <cellStyle name="Normal 4 8 4 4" xfId="11126" xr:uid="{ADFDEEC2-6BDD-4C96-81AF-67A76F19B590}"/>
    <cellStyle name="Normal 4 8 5" xfId="2124" xr:uid="{00000000-0005-0000-0000-0000D6160000}"/>
    <cellStyle name="Normal 4 8 5 2" xfId="4353" xr:uid="{00000000-0005-0000-0000-0000D7160000}"/>
    <cellStyle name="Normal 4 8 5 2 2" xfId="8575" xr:uid="{00000000-0005-0000-0000-0000D8160000}"/>
    <cellStyle name="Normal 4 8 5 2 2 2" xfId="17901" xr:uid="{BB2A3531-5937-4EB6-A4FB-DC779B0B7834}"/>
    <cellStyle name="Normal 4 8 5 2 3" xfId="13684" xr:uid="{13B0FD64-452B-40D5-ABCD-E0C186E1C5E5}"/>
    <cellStyle name="Normal 4 8 5 3" xfId="6430" xr:uid="{00000000-0005-0000-0000-0000D9160000}"/>
    <cellStyle name="Normal 4 8 5 3 2" xfId="15756" xr:uid="{CF0D0CB6-2C66-4828-9951-6488BBBD1FD5}"/>
    <cellStyle name="Normal 4 8 5 4" xfId="11539" xr:uid="{5E4EAD69-0A04-440A-850B-14C8E23426FD}"/>
    <cellStyle name="Normal 4 8 6" xfId="2560" xr:uid="{00000000-0005-0000-0000-0000DA160000}"/>
    <cellStyle name="Normal 4 8 6 2" xfId="6843" xr:uid="{00000000-0005-0000-0000-0000DB160000}"/>
    <cellStyle name="Normal 4 8 6 2 2" xfId="16169" xr:uid="{07620B18-D884-4CAE-98A0-CF3A240CA2C4}"/>
    <cellStyle name="Normal 4 8 6 3" xfId="11952" xr:uid="{B5626FB6-FD8A-4F6D-8895-691B40343BC3}"/>
    <cellStyle name="Normal 4 8 7" xfId="4778" xr:uid="{00000000-0005-0000-0000-0000DC160000}"/>
    <cellStyle name="Normal 4 8 7 2" xfId="14104" xr:uid="{646C1789-1578-4E7B-A81A-B59AE705BEA8}"/>
    <cellStyle name="Normal 4 8 8" xfId="8959" xr:uid="{E3216EF3-66EB-48FF-967C-A258B3C3F4FF}"/>
    <cellStyle name="Normal 4 8 8 2" xfId="18283" xr:uid="{824463FA-3AA0-4FD4-950E-3788E1B0A82A}"/>
    <cellStyle name="Normal 4 8 9" xfId="9887" xr:uid="{D46563BF-5C0E-4FEE-BE1D-37530121F600}"/>
    <cellStyle name="Normal 4 9" xfId="4715" xr:uid="{00000000-0005-0000-0000-0000DD160000}"/>
    <cellStyle name="Normal 4 9 2" xfId="9162" xr:uid="{BC355FAB-4557-4712-A03F-EB5522B29E6A}"/>
    <cellStyle name="Normal 4 9 2 2" xfId="18480" xr:uid="{7956AFA2-D21A-4D6C-8DCD-DCFBAE32F541}"/>
    <cellStyle name="Normal 4 9 3" xfId="14041" xr:uid="{2FDB6910-E52F-4C4A-BE6D-9D6B1E35B911}"/>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2 2 2" xfId="17489" xr:uid="{B78EDECF-E6B7-45EA-95BC-AD5A50D16AF2}"/>
    <cellStyle name="Normal 5 10 2 3" xfId="13272" xr:uid="{067FD2CB-4066-417F-A68E-58D8C530674D}"/>
    <cellStyle name="Normal 5 10 3" xfId="6018" xr:uid="{00000000-0005-0000-0000-0000E2160000}"/>
    <cellStyle name="Normal 5 10 3 2" xfId="15344" xr:uid="{18F18BDE-2270-4036-B3C7-1D2CDADB5704}"/>
    <cellStyle name="Normal 5 10 4" xfId="11127" xr:uid="{073FE62C-5886-4C74-8AC6-07A00099300B}"/>
    <cellStyle name="Normal 5 11" xfId="2125" xr:uid="{00000000-0005-0000-0000-0000E3160000}"/>
    <cellStyle name="Normal 5 11 2" xfId="4354" xr:uid="{00000000-0005-0000-0000-0000E4160000}"/>
    <cellStyle name="Normal 5 11 2 2" xfId="8576" xr:uid="{00000000-0005-0000-0000-0000E5160000}"/>
    <cellStyle name="Normal 5 11 2 2 2" xfId="17902" xr:uid="{A3E555F5-A589-45E5-AA55-AE003D227FB3}"/>
    <cellStyle name="Normal 5 11 2 3" xfId="13685" xr:uid="{E9570917-4F53-434F-8FF9-80E4F3D7138F}"/>
    <cellStyle name="Normal 5 11 3" xfId="6431" xr:uid="{00000000-0005-0000-0000-0000E6160000}"/>
    <cellStyle name="Normal 5 11 3 2" xfId="15757" xr:uid="{7A096A67-9EEB-47C6-88D9-C009792AA6FD}"/>
    <cellStyle name="Normal 5 11 4" xfId="11540" xr:uid="{06C9F118-012D-449A-82BA-09D47FAAF17A}"/>
    <cellStyle name="Normal 5 12" xfId="2561" xr:uid="{00000000-0005-0000-0000-0000E7160000}"/>
    <cellStyle name="Normal 5 12 2" xfId="6844" xr:uid="{00000000-0005-0000-0000-0000E8160000}"/>
    <cellStyle name="Normal 5 12 2 2" xfId="16170" xr:uid="{B67CD852-661F-4D05-92D6-EF09C804CC21}"/>
    <cellStyle name="Normal 5 12 3" xfId="11953" xr:uid="{D2CAD072-49F9-418B-AD31-64788F2A7E2B}"/>
    <cellStyle name="Normal 5 13" xfId="4779" xr:uid="{00000000-0005-0000-0000-0000E9160000}"/>
    <cellStyle name="Normal 5 13 2" xfId="14105" xr:uid="{BF925B75-B10C-4EB8-9367-63A4C1576FDC}"/>
    <cellStyle name="Normal 5 14" xfId="8741" xr:uid="{6467398C-BC57-47BF-AF01-9B3356F8431F}"/>
    <cellStyle name="Normal 5 14 2" xfId="18065" xr:uid="{81094D79-F95E-4D8D-A162-6846E5E03651}"/>
    <cellStyle name="Normal 5 15" xfId="9888" xr:uid="{85B9B03F-792B-45B1-86C6-1B69923A1705}"/>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2 2 2" xfId="17903" xr:uid="{28C99DC3-0E4E-4D04-8071-D8744333D61D}"/>
    <cellStyle name="Normal 5 2 10 2 3" xfId="13686" xr:uid="{02BCBB2C-EBDF-4342-B1A2-3772F8F08307}"/>
    <cellStyle name="Normal 5 2 10 3" xfId="6432" xr:uid="{00000000-0005-0000-0000-0000EE160000}"/>
    <cellStyle name="Normal 5 2 10 3 2" xfId="15758" xr:uid="{08CF53BB-2BC9-410E-AFB6-63EE306574AA}"/>
    <cellStyle name="Normal 5 2 10 4" xfId="11541" xr:uid="{13561579-9680-41E8-BA8F-9EBFFD539CA7}"/>
    <cellStyle name="Normal 5 2 11" xfId="2562" xr:uid="{00000000-0005-0000-0000-0000EF160000}"/>
    <cellStyle name="Normal 5 2 11 2" xfId="6845" xr:uid="{00000000-0005-0000-0000-0000F0160000}"/>
    <cellStyle name="Normal 5 2 11 2 2" xfId="16171" xr:uid="{3D504B1D-B4A7-49F3-9C11-CDB2D253D517}"/>
    <cellStyle name="Normal 5 2 11 3" xfId="11954" xr:uid="{AD762F1B-7655-4E29-9283-1DB07F649240}"/>
    <cellStyle name="Normal 5 2 12" xfId="4780" xr:uid="{00000000-0005-0000-0000-0000F1160000}"/>
    <cellStyle name="Normal 5 2 12 2" xfId="14106" xr:uid="{8F568816-4EE4-4EB2-AE84-23175CCF2CD6}"/>
    <cellStyle name="Normal 5 2 13" xfId="8744" xr:uid="{40D5DF2B-E9DF-4D52-AAE0-3E5A94050B59}"/>
    <cellStyle name="Normal 5 2 13 2" xfId="18068" xr:uid="{3577CA97-F297-40D2-A8A4-F09CEF8E8DDC}"/>
    <cellStyle name="Normal 5 2 14" xfId="9889" xr:uid="{638E7980-7966-41A6-8860-A47D679478DB}"/>
    <cellStyle name="Normal 5 2 2" xfId="408" xr:uid="{00000000-0005-0000-0000-0000F2160000}"/>
    <cellStyle name="Normal 5 2 2 10" xfId="2563" xr:uid="{00000000-0005-0000-0000-0000F3160000}"/>
    <cellStyle name="Normal 5 2 2 10 2" xfId="6846" xr:uid="{00000000-0005-0000-0000-0000F4160000}"/>
    <cellStyle name="Normal 5 2 2 10 2 2" xfId="16172" xr:uid="{1E6B72DD-9BB7-4046-B6F5-8D0D8FC66F6B}"/>
    <cellStyle name="Normal 5 2 2 10 3" xfId="11955" xr:uid="{8E289EAC-F356-4D1F-AD27-78A1CB3AD3E0}"/>
    <cellStyle name="Normal 5 2 2 11" xfId="4781" xr:uid="{00000000-0005-0000-0000-0000F5160000}"/>
    <cellStyle name="Normal 5 2 2 11 2" xfId="14107" xr:uid="{101119D4-F345-42E4-8D2A-C67E80AFA1C9}"/>
    <cellStyle name="Normal 5 2 2 12" xfId="8753" xr:uid="{96D04E2F-D92F-448D-9FDA-8261D8BEE094}"/>
    <cellStyle name="Normal 5 2 2 12 2" xfId="18077" xr:uid="{7AD24584-DD23-4156-96ED-6262183EFF65}"/>
    <cellStyle name="Normal 5 2 2 13" xfId="9890" xr:uid="{D3A7622D-53AF-4E2F-9EF1-842E33BB7D44}"/>
    <cellStyle name="Normal 5 2 2 2" xfId="409" xr:uid="{00000000-0005-0000-0000-0000F6160000}"/>
    <cellStyle name="Normal 5 2 2 2 10" xfId="4782" xr:uid="{00000000-0005-0000-0000-0000F7160000}"/>
    <cellStyle name="Normal 5 2 2 2 10 2" xfId="14108" xr:uid="{94671DE4-0AE2-48F6-8B3C-4B79FD44F66E}"/>
    <cellStyle name="Normal 5 2 2 2 11" xfId="8771" xr:uid="{0E58ED1C-12F1-4692-801F-170CA6F7CBDB}"/>
    <cellStyle name="Normal 5 2 2 2 11 2" xfId="18095" xr:uid="{3921D196-90E9-49A7-ACC9-506AE58E73AD}"/>
    <cellStyle name="Normal 5 2 2 2 12" xfId="9891" xr:uid="{233F5CB3-2468-4432-ADFE-CF68FC943D17}"/>
    <cellStyle name="Normal 5 2 2 2 2" xfId="410" xr:uid="{00000000-0005-0000-0000-0000F8160000}"/>
    <cellStyle name="Normal 5 2 2 2 2 10" xfId="8829" xr:uid="{AC161972-21E9-4E03-8D2E-9F95632CB08D}"/>
    <cellStyle name="Normal 5 2 2 2 2 10 2" xfId="18153" xr:uid="{E3341D69-02C9-4F81-8100-7986688166BA}"/>
    <cellStyle name="Normal 5 2 2 2 2 11" xfId="9892" xr:uid="{CABF8CE3-E2C1-4CDD-8D5B-5DC4930F3F9E}"/>
    <cellStyle name="Normal 5 2 2 2 2 2" xfId="411" xr:uid="{00000000-0005-0000-0000-0000F9160000}"/>
    <cellStyle name="Normal 5 2 2 2 2 2 10" xfId="9893" xr:uid="{3AE169E1-DF37-4FC1-9268-B765CBDE248B}"/>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2 2 2" xfId="16669" xr:uid="{2D61F033-49BE-42B0-87A6-142FC0E8CD8C}"/>
    <cellStyle name="Normal 5 2 2 2 2 2 2 2 2 3" xfId="12452" xr:uid="{FEF446AD-DD5B-46CE-B380-6DD2CC3D2A09}"/>
    <cellStyle name="Normal 5 2 2 2 2 2 2 2 3" xfId="5198" xr:uid="{00000000-0005-0000-0000-0000FE160000}"/>
    <cellStyle name="Normal 5 2 2 2 2 2 2 2 3 2" xfId="14524" xr:uid="{F3FB1158-3807-45D5-8510-B360E3B79751}"/>
    <cellStyle name="Normal 5 2 2 2 2 2 2 2 4" xfId="9564" xr:uid="{15884BE4-44C0-46E7-A184-FC102AAADEB4}"/>
    <cellStyle name="Normal 5 2 2 2 2 2 2 2 4 2" xfId="18879" xr:uid="{D23C2993-3B0F-48A5-B249-730A63B1E4FA}"/>
    <cellStyle name="Normal 5 2 2 2 2 2 2 2 5" xfId="10307" xr:uid="{3CA16D39-9469-4821-8A3E-35355E816646}"/>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2 2 2" xfId="17082" xr:uid="{3D25C01F-02F4-4306-89B5-14A34F0F5B2F}"/>
    <cellStyle name="Normal 5 2 2 2 2 2 2 3 2 3" xfId="12865" xr:uid="{8967A8A6-903D-43F0-8ED5-867C21C0EF3E}"/>
    <cellStyle name="Normal 5 2 2 2 2 2 2 3 3" xfId="5611" xr:uid="{00000000-0005-0000-0000-000002170000}"/>
    <cellStyle name="Normal 5 2 2 2 2 2 2 3 3 2" xfId="14937" xr:uid="{4F5F8334-D13C-4876-873E-6B8CA3173A53}"/>
    <cellStyle name="Normal 5 2 2 2 2 2 2 3 4" xfId="10720" xr:uid="{42D78345-ACF3-45E6-8CDE-2DE52678C19A}"/>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2 2 2" xfId="17495" xr:uid="{3CB0756A-E8A9-4504-A458-BD24DF408D73}"/>
    <cellStyle name="Normal 5 2 2 2 2 2 2 4 2 3" xfId="13278" xr:uid="{DEE5A747-A698-42AC-ACA5-FF70FC5BFB43}"/>
    <cellStyle name="Normal 5 2 2 2 2 2 2 4 3" xfId="6024" xr:uid="{00000000-0005-0000-0000-000006170000}"/>
    <cellStyle name="Normal 5 2 2 2 2 2 2 4 3 2" xfId="15350" xr:uid="{FE55FA98-4F62-4ECD-B5CE-4CFDF299836C}"/>
    <cellStyle name="Normal 5 2 2 2 2 2 2 4 4" xfId="11133" xr:uid="{73B64570-91D4-4D75-99BD-5BE537E0B8B1}"/>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2 2 2" xfId="17908" xr:uid="{CC68DD26-F1F3-4D58-878E-DCA0533112F2}"/>
    <cellStyle name="Normal 5 2 2 2 2 2 2 5 2 3" xfId="13691" xr:uid="{30E6AAC7-058E-47E6-AB72-7FE06835CF41}"/>
    <cellStyle name="Normal 5 2 2 2 2 2 2 5 3" xfId="6437" xr:uid="{00000000-0005-0000-0000-00000A170000}"/>
    <cellStyle name="Normal 5 2 2 2 2 2 2 5 3 2" xfId="15763" xr:uid="{B8B6497F-593D-46E7-95AD-509E29280141}"/>
    <cellStyle name="Normal 5 2 2 2 2 2 2 5 4" xfId="11546" xr:uid="{C54171B2-7C99-4A46-9F14-1DA7A74BC7F6}"/>
    <cellStyle name="Normal 5 2 2 2 2 2 2 6" xfId="2567" xr:uid="{00000000-0005-0000-0000-00000B170000}"/>
    <cellStyle name="Normal 5 2 2 2 2 2 2 6 2" xfId="6850" xr:uid="{00000000-0005-0000-0000-00000C170000}"/>
    <cellStyle name="Normal 5 2 2 2 2 2 2 6 2 2" xfId="16176" xr:uid="{CE63799E-75C6-40E4-A888-D994B038F5BE}"/>
    <cellStyle name="Normal 5 2 2 2 2 2 2 6 3" xfId="11959" xr:uid="{A30D5606-453A-40F8-A894-67A15B508A29}"/>
    <cellStyle name="Normal 5 2 2 2 2 2 2 7" xfId="4785" xr:uid="{00000000-0005-0000-0000-00000D170000}"/>
    <cellStyle name="Normal 5 2 2 2 2 2 2 7 2" xfId="14111" xr:uid="{82BB6331-00AA-4E89-836C-AF92D1B10133}"/>
    <cellStyle name="Normal 5 2 2 2 2 2 2 8" xfId="9139" xr:uid="{CFCC7179-F81D-4929-81F2-C6E64655A093}"/>
    <cellStyle name="Normal 5 2 2 2 2 2 2 8 2" xfId="18463" xr:uid="{46A6932C-8CFC-40A9-961A-B5DEDDC71CE2}"/>
    <cellStyle name="Normal 5 2 2 2 2 2 2 9" xfId="9894" xr:uid="{66DFC250-156D-4191-A1D2-EEB4DDE6ED72}"/>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2 2 2" xfId="16668" xr:uid="{E7AF696A-177D-4F4D-AAB0-AE0B7367B180}"/>
    <cellStyle name="Normal 5 2 2 2 2 2 3 2 3" xfId="12451" xr:uid="{A5ECE7CA-4459-48C1-BFEF-4E62E7499E89}"/>
    <cellStyle name="Normal 5 2 2 2 2 2 3 3" xfId="5197" xr:uid="{00000000-0005-0000-0000-000011170000}"/>
    <cellStyle name="Normal 5 2 2 2 2 2 3 3 2" xfId="14523" xr:uid="{F7672BC1-7CD2-4373-8015-CF4A1B25BE3F}"/>
    <cellStyle name="Normal 5 2 2 2 2 2 3 4" xfId="9357" xr:uid="{1809EB60-9E69-4954-99A5-643CD830C5FB}"/>
    <cellStyle name="Normal 5 2 2 2 2 2 3 4 2" xfId="18672" xr:uid="{ACD9F4BA-D20C-408C-995B-8379BBC4F299}"/>
    <cellStyle name="Normal 5 2 2 2 2 2 3 5" xfId="10306" xr:uid="{2A609B59-5A3A-4266-B973-23277CEC5681}"/>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2 2 2" xfId="17081" xr:uid="{1ED451BE-FECA-4511-90AA-27C2C980BE45}"/>
    <cellStyle name="Normal 5 2 2 2 2 2 4 2 3" xfId="12864" xr:uid="{8964E443-5CC9-436C-B335-B8C446C103A8}"/>
    <cellStyle name="Normal 5 2 2 2 2 2 4 3" xfId="5610" xr:uid="{00000000-0005-0000-0000-000015170000}"/>
    <cellStyle name="Normal 5 2 2 2 2 2 4 3 2" xfId="14936" xr:uid="{FE410653-A713-40E2-9412-11D55D75E7B3}"/>
    <cellStyle name="Normal 5 2 2 2 2 2 4 4" xfId="10719" xr:uid="{DBCA6FAA-2E81-440B-A3A0-38C09E349125}"/>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2 2 2" xfId="17494" xr:uid="{9918BF13-AA42-4478-807A-74E68F9B87BB}"/>
    <cellStyle name="Normal 5 2 2 2 2 2 5 2 3" xfId="13277" xr:uid="{BECC306A-7A89-43A9-8E38-870B35204FAD}"/>
    <cellStyle name="Normal 5 2 2 2 2 2 5 3" xfId="6023" xr:uid="{00000000-0005-0000-0000-000019170000}"/>
    <cellStyle name="Normal 5 2 2 2 2 2 5 3 2" xfId="15349" xr:uid="{370F2F06-6F23-4418-986D-F3A355100E9F}"/>
    <cellStyle name="Normal 5 2 2 2 2 2 5 4" xfId="11132" xr:uid="{2DDABD6D-D778-4635-B7D1-7892997BE542}"/>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2 2 2" xfId="17907" xr:uid="{EE9983D2-941A-4129-8397-26864AD2A295}"/>
    <cellStyle name="Normal 5 2 2 2 2 2 6 2 3" xfId="13690" xr:uid="{7F531216-ED1C-47E7-9142-AD745B516D60}"/>
    <cellStyle name="Normal 5 2 2 2 2 2 6 3" xfId="6436" xr:uid="{00000000-0005-0000-0000-00001D170000}"/>
    <cellStyle name="Normal 5 2 2 2 2 2 6 3 2" xfId="15762" xr:uid="{21312475-DB9A-46ED-A199-04E8AA9D24CD}"/>
    <cellStyle name="Normal 5 2 2 2 2 2 6 4" xfId="11545" xr:uid="{D6C6AC53-A3C3-4EBA-823E-7B8A599BC40A}"/>
    <cellStyle name="Normal 5 2 2 2 2 2 7" xfId="2566" xr:uid="{00000000-0005-0000-0000-00001E170000}"/>
    <cellStyle name="Normal 5 2 2 2 2 2 7 2" xfId="6849" xr:uid="{00000000-0005-0000-0000-00001F170000}"/>
    <cellStyle name="Normal 5 2 2 2 2 2 7 2 2" xfId="16175" xr:uid="{861855C7-9F9B-4382-BAED-B2758B124298}"/>
    <cellStyle name="Normal 5 2 2 2 2 2 7 3" xfId="11958" xr:uid="{D63B7B30-E89B-4127-A861-3CABA9FBC8F8}"/>
    <cellStyle name="Normal 5 2 2 2 2 2 8" xfId="4784" xr:uid="{00000000-0005-0000-0000-000020170000}"/>
    <cellStyle name="Normal 5 2 2 2 2 2 8 2" xfId="14110" xr:uid="{A960864A-DB3D-461C-85D3-026846D4F98F}"/>
    <cellStyle name="Normal 5 2 2 2 2 2 9" xfId="8932" xr:uid="{8A89D9DD-5FCE-4028-8D52-F4758EFA866E}"/>
    <cellStyle name="Normal 5 2 2 2 2 2 9 2" xfId="18256" xr:uid="{6D3D6A31-D56C-4826-BAD9-E1A61610A14F}"/>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2 2 2" xfId="16670" xr:uid="{ED443FF0-11C3-4657-8A8B-0ABBE02CEAA9}"/>
    <cellStyle name="Normal 5 2 2 2 2 3 2 2 3" xfId="12453" xr:uid="{4EA9C2A5-11BF-40B9-AC7A-A15DCCC51B14}"/>
    <cellStyle name="Normal 5 2 2 2 2 3 2 3" xfId="5199" xr:uid="{00000000-0005-0000-0000-000025170000}"/>
    <cellStyle name="Normal 5 2 2 2 2 3 2 3 2" xfId="14525" xr:uid="{A21D1D28-FCF6-48DE-8030-F22F01A405FD}"/>
    <cellStyle name="Normal 5 2 2 2 2 3 2 4" xfId="9461" xr:uid="{815E4D9A-ED64-4B6C-A17A-F6D83CC40A47}"/>
    <cellStyle name="Normal 5 2 2 2 2 3 2 4 2" xfId="18776" xr:uid="{15BCF061-B53B-4E60-B70E-28A41BDA78DC}"/>
    <cellStyle name="Normal 5 2 2 2 2 3 2 5" xfId="10308" xr:uid="{2127688C-8F55-42B8-9C41-6CA9D43BBFC6}"/>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2 2 2" xfId="17083" xr:uid="{D7713D05-28FF-41E8-9B30-2AD63308633B}"/>
    <cellStyle name="Normal 5 2 2 2 2 3 3 2 3" xfId="12866" xr:uid="{870CFE68-F23D-4B6B-AAA1-74B53A2DD4C3}"/>
    <cellStyle name="Normal 5 2 2 2 2 3 3 3" xfId="5612" xr:uid="{00000000-0005-0000-0000-000029170000}"/>
    <cellStyle name="Normal 5 2 2 2 2 3 3 3 2" xfId="14938" xr:uid="{308F84E7-2FBD-468D-9F36-AFB068347754}"/>
    <cellStyle name="Normal 5 2 2 2 2 3 3 4" xfId="10721" xr:uid="{245EF6D7-FD03-452E-B623-58B21D5EEFB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2 2 2" xfId="17496" xr:uid="{1D84EE43-270D-4564-86B9-F45EEAF1FB7E}"/>
    <cellStyle name="Normal 5 2 2 2 2 3 4 2 3" xfId="13279" xr:uid="{0D512D9A-F25A-4ADC-B97A-41AB76F9B97C}"/>
    <cellStyle name="Normal 5 2 2 2 2 3 4 3" xfId="6025" xr:uid="{00000000-0005-0000-0000-00002D170000}"/>
    <cellStyle name="Normal 5 2 2 2 2 3 4 3 2" xfId="15351" xr:uid="{BA8CD557-8C48-46C7-B110-1856331C1A5D}"/>
    <cellStyle name="Normal 5 2 2 2 2 3 4 4" xfId="11134" xr:uid="{3A5D0AB3-216B-49B6-AE7D-D79AF1D0A754}"/>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2 2 2" xfId="17909" xr:uid="{9CA5F1E6-0C54-4D89-B97C-80F6FD8DE5BF}"/>
    <cellStyle name="Normal 5 2 2 2 2 3 5 2 3" xfId="13692" xr:uid="{4DBB072B-FB82-4679-AF83-61FE7E113CD6}"/>
    <cellStyle name="Normal 5 2 2 2 2 3 5 3" xfId="6438" xr:uid="{00000000-0005-0000-0000-000031170000}"/>
    <cellStyle name="Normal 5 2 2 2 2 3 5 3 2" xfId="15764" xr:uid="{56CD9ADF-6BCD-4D25-9A77-C01504D4F273}"/>
    <cellStyle name="Normal 5 2 2 2 2 3 5 4" xfId="11547" xr:uid="{3960DB5B-9B7E-4E42-B6FF-873D76AD4B52}"/>
    <cellStyle name="Normal 5 2 2 2 2 3 6" xfId="2568" xr:uid="{00000000-0005-0000-0000-000032170000}"/>
    <cellStyle name="Normal 5 2 2 2 2 3 6 2" xfId="6851" xr:uid="{00000000-0005-0000-0000-000033170000}"/>
    <cellStyle name="Normal 5 2 2 2 2 3 6 2 2" xfId="16177" xr:uid="{B651358A-4DC1-4076-A58F-A0E52A7ACA5E}"/>
    <cellStyle name="Normal 5 2 2 2 2 3 6 3" xfId="11960" xr:uid="{698996D3-E617-4D1D-810D-3576B001FAFA}"/>
    <cellStyle name="Normal 5 2 2 2 2 3 7" xfId="4786" xr:uid="{00000000-0005-0000-0000-000034170000}"/>
    <cellStyle name="Normal 5 2 2 2 2 3 7 2" xfId="14112" xr:uid="{8DAB4A73-37D2-42DF-8B17-2A6F62719E53}"/>
    <cellStyle name="Normal 5 2 2 2 2 3 8" xfId="9036" xr:uid="{2B9BC3AC-900A-42EE-A23F-E5574B6E75BC}"/>
    <cellStyle name="Normal 5 2 2 2 2 3 8 2" xfId="18360" xr:uid="{7C8B91D8-2361-4A3F-AFA6-5C10103CD195}"/>
    <cellStyle name="Normal 5 2 2 2 2 3 9" xfId="9895" xr:uid="{25D960FD-55F9-4559-81D4-7696AA181F99}"/>
    <cellStyle name="Normal 5 2 2 2 2 4" xfId="884" xr:uid="{00000000-0005-0000-0000-000035170000}"/>
    <cellStyle name="Normal 5 2 2 2 2 4 2" xfId="3119" xr:uid="{00000000-0005-0000-0000-000036170000}"/>
    <cellStyle name="Normal 5 2 2 2 2 4 2 2" xfId="7341" xr:uid="{00000000-0005-0000-0000-000037170000}"/>
    <cellStyle name="Normal 5 2 2 2 2 4 2 2 2" xfId="16667" xr:uid="{21FA9971-5B7A-4E83-91E7-A0B70B9BB1E6}"/>
    <cellStyle name="Normal 5 2 2 2 2 4 2 3" xfId="12450" xr:uid="{4E1FF82E-ED2A-48B7-A552-15BD57E4A79B}"/>
    <cellStyle name="Normal 5 2 2 2 2 4 3" xfId="5196" xr:uid="{00000000-0005-0000-0000-000038170000}"/>
    <cellStyle name="Normal 5 2 2 2 2 4 3 2" xfId="14522" xr:uid="{FF2C8745-A157-4108-9A8C-8550BFFC5A4A}"/>
    <cellStyle name="Normal 5 2 2 2 2 4 4" xfId="9254" xr:uid="{B0B4DA0D-4C0F-4712-8BF0-280C2A85D575}"/>
    <cellStyle name="Normal 5 2 2 2 2 4 4 2" xfId="18569" xr:uid="{51D79C3C-41F3-4C33-ADE7-14CAE2A04EE5}"/>
    <cellStyle name="Normal 5 2 2 2 2 4 5" xfId="10305" xr:uid="{5D1B182C-30CE-4A2D-A713-5BC41B45C5DD}"/>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2 2 2" xfId="17080" xr:uid="{3573EA4D-D97C-48B8-8DCD-735C888FF06D}"/>
    <cellStyle name="Normal 5 2 2 2 2 5 2 3" xfId="12863" xr:uid="{61DB1582-CF48-428D-9DE5-0E2D613F6B1D}"/>
    <cellStyle name="Normal 5 2 2 2 2 5 3" xfId="5609" xr:uid="{00000000-0005-0000-0000-00003C170000}"/>
    <cellStyle name="Normal 5 2 2 2 2 5 3 2" xfId="14935" xr:uid="{1302DA68-9718-441C-930E-05A7F7B4CC8F}"/>
    <cellStyle name="Normal 5 2 2 2 2 5 4" xfId="10718" xr:uid="{AD321C8D-9D56-4454-9500-35B36E07435C}"/>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2 2 2" xfId="17493" xr:uid="{C5C3A732-31CB-412E-90CF-8348640B9BBD}"/>
    <cellStyle name="Normal 5 2 2 2 2 6 2 3" xfId="13276" xr:uid="{4E3DC34F-979B-4B7C-A899-D0586C6A1EC9}"/>
    <cellStyle name="Normal 5 2 2 2 2 6 3" xfId="6022" xr:uid="{00000000-0005-0000-0000-000040170000}"/>
    <cellStyle name="Normal 5 2 2 2 2 6 3 2" xfId="15348" xr:uid="{6D31FB92-9361-4C83-96D7-625E0CA59B94}"/>
    <cellStyle name="Normal 5 2 2 2 2 6 4" xfId="11131" xr:uid="{60052F11-AC05-4540-8AB1-6A564948C2AB}"/>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2 2 2" xfId="17906" xr:uid="{C5E8510C-7909-4062-B631-E928A37B44E2}"/>
    <cellStyle name="Normal 5 2 2 2 2 7 2 3" xfId="13689" xr:uid="{C6DFF6BF-539F-4885-8CB0-224A1331879D}"/>
    <cellStyle name="Normal 5 2 2 2 2 7 3" xfId="6435" xr:uid="{00000000-0005-0000-0000-000044170000}"/>
    <cellStyle name="Normal 5 2 2 2 2 7 3 2" xfId="15761" xr:uid="{4D52294F-E93B-4990-A9D7-AA7ED0046FDA}"/>
    <cellStyle name="Normal 5 2 2 2 2 7 4" xfId="11544" xr:uid="{06206A19-9EE5-4B26-893A-99291C83A2DD}"/>
    <cellStyle name="Normal 5 2 2 2 2 8" xfId="2565" xr:uid="{00000000-0005-0000-0000-000045170000}"/>
    <cellStyle name="Normal 5 2 2 2 2 8 2" xfId="6848" xr:uid="{00000000-0005-0000-0000-000046170000}"/>
    <cellStyle name="Normal 5 2 2 2 2 8 2 2" xfId="16174" xr:uid="{C73BE7B7-EB6D-427B-A3DD-D094FD78CE01}"/>
    <cellStyle name="Normal 5 2 2 2 2 8 3" xfId="11957" xr:uid="{43BA33E6-87E6-4034-A636-90E0E0AD9785}"/>
    <cellStyle name="Normal 5 2 2 2 2 9" xfId="4783" xr:uid="{00000000-0005-0000-0000-000047170000}"/>
    <cellStyle name="Normal 5 2 2 2 2 9 2" xfId="14109" xr:uid="{B5334AC5-FE18-4D8B-8566-CB078B2C1603}"/>
    <cellStyle name="Normal 5 2 2 2 3" xfId="414" xr:uid="{00000000-0005-0000-0000-000048170000}"/>
    <cellStyle name="Normal 5 2 2 2 3 10" xfId="9896" xr:uid="{40140BA9-7ED3-4276-A140-589C58707F57}"/>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2 2 2" xfId="16672" xr:uid="{F1B90F9A-A512-4ADC-88C8-6F2ECF63B06B}"/>
    <cellStyle name="Normal 5 2 2 2 3 2 2 2 3" xfId="12455" xr:uid="{38A6987F-083A-4614-B357-EB5043F48369}"/>
    <cellStyle name="Normal 5 2 2 2 3 2 2 3" xfId="5201" xr:uid="{00000000-0005-0000-0000-00004D170000}"/>
    <cellStyle name="Normal 5 2 2 2 3 2 2 3 2" xfId="14527" xr:uid="{40657D37-1FA6-4B9C-A255-4EC4AF946EBE}"/>
    <cellStyle name="Normal 5 2 2 2 3 2 2 4" xfId="9506" xr:uid="{65E8E1F9-5B62-47C9-8131-412DF42F5268}"/>
    <cellStyle name="Normal 5 2 2 2 3 2 2 4 2" xfId="18821" xr:uid="{2D7888E9-104D-4804-9A29-63E769D24EE1}"/>
    <cellStyle name="Normal 5 2 2 2 3 2 2 5" xfId="10310" xr:uid="{153C8CF6-45C1-43EB-9E8E-A4BC9DE25E3F}"/>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2 2 2" xfId="17085" xr:uid="{34A18F5F-C4D6-4D13-8630-7BDC7B748ECE}"/>
    <cellStyle name="Normal 5 2 2 2 3 2 3 2 3" xfId="12868" xr:uid="{0F7A3718-6859-446C-AA55-F7101F664AF4}"/>
    <cellStyle name="Normal 5 2 2 2 3 2 3 3" xfId="5614" xr:uid="{00000000-0005-0000-0000-000051170000}"/>
    <cellStyle name="Normal 5 2 2 2 3 2 3 3 2" xfId="14940" xr:uid="{F861687B-A37D-42EC-AED2-FF292B3818B0}"/>
    <cellStyle name="Normal 5 2 2 2 3 2 3 4" xfId="10723" xr:uid="{AF31C7C6-01BA-43BB-88A2-BF8200D7484F}"/>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2 2 2" xfId="17498" xr:uid="{8F8ECCD4-12CE-4376-A46A-8C3D318C8E02}"/>
    <cellStyle name="Normal 5 2 2 2 3 2 4 2 3" xfId="13281" xr:uid="{EE544FEB-ECE8-42C7-B7BF-082870DE365C}"/>
    <cellStyle name="Normal 5 2 2 2 3 2 4 3" xfId="6027" xr:uid="{00000000-0005-0000-0000-000055170000}"/>
    <cellStyle name="Normal 5 2 2 2 3 2 4 3 2" xfId="15353" xr:uid="{3EDCBDDB-9789-43F2-9408-F359F698305D}"/>
    <cellStyle name="Normal 5 2 2 2 3 2 4 4" xfId="11136" xr:uid="{D58B7F5F-2823-4C07-80D0-167345B1FF09}"/>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2 2 2" xfId="17911" xr:uid="{F1C76CDE-5086-4C3F-A0CD-1AB897B98CD6}"/>
    <cellStyle name="Normal 5 2 2 2 3 2 5 2 3" xfId="13694" xr:uid="{90BE0715-E53E-4196-9F35-784E8B21E06C}"/>
    <cellStyle name="Normal 5 2 2 2 3 2 5 3" xfId="6440" xr:uid="{00000000-0005-0000-0000-000059170000}"/>
    <cellStyle name="Normal 5 2 2 2 3 2 5 3 2" xfId="15766" xr:uid="{2129E78B-6BD0-480D-822B-4153F0B1AFAA}"/>
    <cellStyle name="Normal 5 2 2 2 3 2 5 4" xfId="11549" xr:uid="{11795A24-49A3-4856-B3AB-5C62E1EC94C4}"/>
    <cellStyle name="Normal 5 2 2 2 3 2 6" xfId="2570" xr:uid="{00000000-0005-0000-0000-00005A170000}"/>
    <cellStyle name="Normal 5 2 2 2 3 2 6 2" xfId="6853" xr:uid="{00000000-0005-0000-0000-00005B170000}"/>
    <cellStyle name="Normal 5 2 2 2 3 2 6 2 2" xfId="16179" xr:uid="{3F6F6965-645C-47F5-81BF-A2729EBD1779}"/>
    <cellStyle name="Normal 5 2 2 2 3 2 6 3" xfId="11962" xr:uid="{5E486499-F208-4BD3-B25D-75D0BBFBC782}"/>
    <cellStyle name="Normal 5 2 2 2 3 2 7" xfId="4788" xr:uid="{00000000-0005-0000-0000-00005C170000}"/>
    <cellStyle name="Normal 5 2 2 2 3 2 7 2" xfId="14114" xr:uid="{5463CE01-46C3-47D2-9B04-71DE80590D3C}"/>
    <cellStyle name="Normal 5 2 2 2 3 2 8" xfId="9081" xr:uid="{B0400C6D-4400-4F06-9092-2DCAD3324CF1}"/>
    <cellStyle name="Normal 5 2 2 2 3 2 8 2" xfId="18405" xr:uid="{BB6F3F10-80DD-47F2-A1BE-0AE92B5B5ECE}"/>
    <cellStyle name="Normal 5 2 2 2 3 2 9" xfId="9897" xr:uid="{B762B4CF-A568-4EA7-B328-102E2CC5E429}"/>
    <cellStyle name="Normal 5 2 2 2 3 3" xfId="888" xr:uid="{00000000-0005-0000-0000-00005D170000}"/>
    <cellStyle name="Normal 5 2 2 2 3 3 2" xfId="3123" xr:uid="{00000000-0005-0000-0000-00005E170000}"/>
    <cellStyle name="Normal 5 2 2 2 3 3 2 2" xfId="7345" xr:uid="{00000000-0005-0000-0000-00005F170000}"/>
    <cellStyle name="Normal 5 2 2 2 3 3 2 2 2" xfId="16671" xr:uid="{EAECA749-EF7D-44AF-B352-5135D57145F1}"/>
    <cellStyle name="Normal 5 2 2 2 3 3 2 3" xfId="12454" xr:uid="{7E9BAA5B-029D-408C-A27E-6B9F0A2E6CEE}"/>
    <cellStyle name="Normal 5 2 2 2 3 3 3" xfId="5200" xr:uid="{00000000-0005-0000-0000-000060170000}"/>
    <cellStyle name="Normal 5 2 2 2 3 3 3 2" xfId="14526" xr:uid="{013E5CDA-64B0-4E8C-A2A7-9A1252AA9079}"/>
    <cellStyle name="Normal 5 2 2 2 3 3 4" xfId="9299" xr:uid="{85780536-A38F-4D86-8846-D9FA6BB2D61D}"/>
    <cellStyle name="Normal 5 2 2 2 3 3 4 2" xfId="18614" xr:uid="{A4482187-4F63-4928-8C8B-2C903B573086}"/>
    <cellStyle name="Normal 5 2 2 2 3 3 5" xfId="10309" xr:uid="{ED38B183-0553-42A7-8C91-20AB1AB80E5C}"/>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2 2 2" xfId="17084" xr:uid="{FE9FC095-4466-4FCB-A86C-BF5B03BC15F3}"/>
    <cellStyle name="Normal 5 2 2 2 3 4 2 3" xfId="12867" xr:uid="{656FC0F6-CF46-4B3E-B606-04A4A1E242C7}"/>
    <cellStyle name="Normal 5 2 2 2 3 4 3" xfId="5613" xr:uid="{00000000-0005-0000-0000-000064170000}"/>
    <cellStyle name="Normal 5 2 2 2 3 4 3 2" xfId="14939" xr:uid="{F9C3D6AF-8669-40E0-B301-9BA83187E81D}"/>
    <cellStyle name="Normal 5 2 2 2 3 4 4" xfId="10722" xr:uid="{630FEE72-0652-49A5-9CB1-13E8032D6736}"/>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2 2 2" xfId="17497" xr:uid="{548D25FD-4605-4590-BF27-6054C6E5A264}"/>
    <cellStyle name="Normal 5 2 2 2 3 5 2 3" xfId="13280" xr:uid="{6258DF09-7B46-4191-8592-F9208D31017D}"/>
    <cellStyle name="Normal 5 2 2 2 3 5 3" xfId="6026" xr:uid="{00000000-0005-0000-0000-000068170000}"/>
    <cellStyle name="Normal 5 2 2 2 3 5 3 2" xfId="15352" xr:uid="{F1732510-5778-4CC7-A952-336CA6CFD89D}"/>
    <cellStyle name="Normal 5 2 2 2 3 5 4" xfId="11135" xr:uid="{8FED17EA-0228-4AA4-882B-7E8F8460936E}"/>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2 2 2" xfId="17910" xr:uid="{4CF13717-299F-419D-BB2F-8E166CC8A93C}"/>
    <cellStyle name="Normal 5 2 2 2 3 6 2 3" xfId="13693" xr:uid="{12D98475-3733-4CF3-ACED-6B9047D57444}"/>
    <cellStyle name="Normal 5 2 2 2 3 6 3" xfId="6439" xr:uid="{00000000-0005-0000-0000-00006C170000}"/>
    <cellStyle name="Normal 5 2 2 2 3 6 3 2" xfId="15765" xr:uid="{F2F67A3B-E0CD-41EF-B9EF-DD9A7F691614}"/>
    <cellStyle name="Normal 5 2 2 2 3 6 4" xfId="11548" xr:uid="{6786F5BA-299D-4E7D-A590-90D4BDE198E9}"/>
    <cellStyle name="Normal 5 2 2 2 3 7" xfId="2569" xr:uid="{00000000-0005-0000-0000-00006D170000}"/>
    <cellStyle name="Normal 5 2 2 2 3 7 2" xfId="6852" xr:uid="{00000000-0005-0000-0000-00006E170000}"/>
    <cellStyle name="Normal 5 2 2 2 3 7 2 2" xfId="16178" xr:uid="{E5CF7C04-CB2A-4D58-B44F-993ADCCF2862}"/>
    <cellStyle name="Normal 5 2 2 2 3 7 3" xfId="11961" xr:uid="{12A082DE-DC81-4238-A5A0-7AA774F6460D}"/>
    <cellStyle name="Normal 5 2 2 2 3 8" xfId="4787" xr:uid="{00000000-0005-0000-0000-00006F170000}"/>
    <cellStyle name="Normal 5 2 2 2 3 8 2" xfId="14113" xr:uid="{94C0A474-D561-494A-A938-539041022690}"/>
    <cellStyle name="Normal 5 2 2 2 3 9" xfId="8874" xr:uid="{D7CEB9F3-DFA5-483F-B08A-C4A582DD7FE8}"/>
    <cellStyle name="Normal 5 2 2 2 3 9 2" xfId="18198" xr:uid="{5E68B4B7-1128-4ACD-A8E8-C6862FCBDCE9}"/>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2 2 2" xfId="16673" xr:uid="{EF7E9F79-3EE1-4746-B235-A5B36DD7ACCB}"/>
    <cellStyle name="Normal 5 2 2 2 4 2 2 3" xfId="12456" xr:uid="{2A7C928A-4828-471B-952F-731AD11D8FC5}"/>
    <cellStyle name="Normal 5 2 2 2 4 2 3" xfId="5202" xr:uid="{00000000-0005-0000-0000-000074170000}"/>
    <cellStyle name="Normal 5 2 2 2 4 2 3 2" xfId="14528" xr:uid="{D8CEF895-4780-460D-805B-2FC6AF7A1D14}"/>
    <cellStyle name="Normal 5 2 2 2 4 2 4" xfId="9403" xr:uid="{DDA7C497-662A-4A76-A324-A27E6A0A2B3D}"/>
    <cellStyle name="Normal 5 2 2 2 4 2 4 2" xfId="18718" xr:uid="{FA4C7F5D-A122-4AEF-81F0-560572E7E9D6}"/>
    <cellStyle name="Normal 5 2 2 2 4 2 5" xfId="10311" xr:uid="{73972D60-597D-4421-AB3D-97421E038D33}"/>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2 2 2" xfId="17086" xr:uid="{181B5203-A94E-4A5D-BC48-248E9F5C13A4}"/>
    <cellStyle name="Normal 5 2 2 2 4 3 2 3" xfId="12869" xr:uid="{EB08D5D8-497C-46F7-83E6-AF89B2AE6748}"/>
    <cellStyle name="Normal 5 2 2 2 4 3 3" xfId="5615" xr:uid="{00000000-0005-0000-0000-000078170000}"/>
    <cellStyle name="Normal 5 2 2 2 4 3 3 2" xfId="14941" xr:uid="{EC115A4B-8E24-472B-B5EC-3BBD33FFE35E}"/>
    <cellStyle name="Normal 5 2 2 2 4 3 4" xfId="10724" xr:uid="{01AB2592-48FF-4793-B576-866F67A51C15}"/>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2 2 2" xfId="17499" xr:uid="{B1177642-8509-43DF-86F3-85EEBD021B08}"/>
    <cellStyle name="Normal 5 2 2 2 4 4 2 3" xfId="13282" xr:uid="{48ED6B79-82C1-474C-9ABB-48498435AC37}"/>
    <cellStyle name="Normal 5 2 2 2 4 4 3" xfId="6028" xr:uid="{00000000-0005-0000-0000-00007C170000}"/>
    <cellStyle name="Normal 5 2 2 2 4 4 3 2" xfId="15354" xr:uid="{EF9ED02E-FDC1-4760-9011-E891965B7EBF}"/>
    <cellStyle name="Normal 5 2 2 2 4 4 4" xfId="11137" xr:uid="{DC239D4C-8090-47B4-A73E-467B5902D0FD}"/>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2 2 2" xfId="17912" xr:uid="{44C1C9D5-7FA8-4095-A9C8-EA957ED03D4F}"/>
    <cellStyle name="Normal 5 2 2 2 4 5 2 3" xfId="13695" xr:uid="{D774FF91-2F9A-4B5D-9BF7-0D5723AC9822}"/>
    <cellStyle name="Normal 5 2 2 2 4 5 3" xfId="6441" xr:uid="{00000000-0005-0000-0000-000080170000}"/>
    <cellStyle name="Normal 5 2 2 2 4 5 3 2" xfId="15767" xr:uid="{5E2C020E-84F0-4EE8-9DD1-0F1AF2CDD16B}"/>
    <cellStyle name="Normal 5 2 2 2 4 5 4" xfId="11550" xr:uid="{F6F9F7FF-13EC-48C4-92DF-DEAE0A36DB1B}"/>
    <cellStyle name="Normal 5 2 2 2 4 6" xfId="2571" xr:uid="{00000000-0005-0000-0000-000081170000}"/>
    <cellStyle name="Normal 5 2 2 2 4 6 2" xfId="6854" xr:uid="{00000000-0005-0000-0000-000082170000}"/>
    <cellStyle name="Normal 5 2 2 2 4 6 2 2" xfId="16180" xr:uid="{268B133C-AEFB-46C9-A2FD-507D4C5991D0}"/>
    <cellStyle name="Normal 5 2 2 2 4 6 3" xfId="11963" xr:uid="{3EB40708-620A-4B71-8549-B196BF0A2390}"/>
    <cellStyle name="Normal 5 2 2 2 4 7" xfId="4789" xr:uid="{00000000-0005-0000-0000-000083170000}"/>
    <cellStyle name="Normal 5 2 2 2 4 7 2" xfId="14115" xr:uid="{B75D3DFC-83F9-49D7-91C2-A730B7CD628A}"/>
    <cellStyle name="Normal 5 2 2 2 4 8" xfId="8978" xr:uid="{5B5F86B4-BA0F-43A7-920A-E466FD014739}"/>
    <cellStyle name="Normal 5 2 2 2 4 8 2" xfId="18302" xr:uid="{8B4279DE-5824-43B6-B26C-E8CA6A9F595B}"/>
    <cellStyle name="Normal 5 2 2 2 4 9" xfId="9898" xr:uid="{9CF9DF8F-07CD-4173-A574-0BEC11569BC1}"/>
    <cellStyle name="Normal 5 2 2 2 5" xfId="883" xr:uid="{00000000-0005-0000-0000-000084170000}"/>
    <cellStyle name="Normal 5 2 2 2 5 2" xfId="3118" xr:uid="{00000000-0005-0000-0000-000085170000}"/>
    <cellStyle name="Normal 5 2 2 2 5 2 2" xfId="7340" xr:uid="{00000000-0005-0000-0000-000086170000}"/>
    <cellStyle name="Normal 5 2 2 2 5 2 2 2" xfId="16666" xr:uid="{8D18B442-8C8D-4328-928B-62CC92B9A782}"/>
    <cellStyle name="Normal 5 2 2 2 5 2 3" xfId="12449" xr:uid="{76B1734D-201D-4B03-A12F-221A46F4364C}"/>
    <cellStyle name="Normal 5 2 2 2 5 3" xfId="5195" xr:uid="{00000000-0005-0000-0000-000087170000}"/>
    <cellStyle name="Normal 5 2 2 2 5 3 2" xfId="14521" xr:uid="{44E7A5C1-7996-410A-952C-F5EA42246AA4}"/>
    <cellStyle name="Normal 5 2 2 2 5 4" xfId="9195" xr:uid="{A7E71EA0-2CA4-4918-870E-A32EEF45C61A}"/>
    <cellStyle name="Normal 5 2 2 2 5 4 2" xfId="18511" xr:uid="{59D617DE-F03D-4692-9811-6E1463B21332}"/>
    <cellStyle name="Normal 5 2 2 2 5 5" xfId="10304" xr:uid="{5034727E-4328-4539-9946-76C62D1ABFFC}"/>
    <cellStyle name="Normal 5 2 2 2 6" xfId="1301" xr:uid="{00000000-0005-0000-0000-000088170000}"/>
    <cellStyle name="Normal 5 2 2 2 6 2" xfId="3531" xr:uid="{00000000-0005-0000-0000-000089170000}"/>
    <cellStyle name="Normal 5 2 2 2 6 2 2" xfId="7753" xr:uid="{00000000-0005-0000-0000-00008A170000}"/>
    <cellStyle name="Normal 5 2 2 2 6 2 2 2" xfId="17079" xr:uid="{63886511-F41E-4020-98C8-6CC081826705}"/>
    <cellStyle name="Normal 5 2 2 2 6 2 3" xfId="12862" xr:uid="{9465BF5F-817C-4711-A0F8-B24AF5849B8B}"/>
    <cellStyle name="Normal 5 2 2 2 6 3" xfId="5608" xr:uid="{00000000-0005-0000-0000-00008B170000}"/>
    <cellStyle name="Normal 5 2 2 2 6 3 2" xfId="14934" xr:uid="{0578302B-DD1E-4DE8-A000-9792C0DD76F0}"/>
    <cellStyle name="Normal 5 2 2 2 6 4" xfId="10717" xr:uid="{6060B4F2-BAE4-4BA2-8186-D5236E270360}"/>
    <cellStyle name="Normal 5 2 2 2 7" xfId="1714" xr:uid="{00000000-0005-0000-0000-00008C170000}"/>
    <cellStyle name="Normal 5 2 2 2 7 2" xfId="3944" xr:uid="{00000000-0005-0000-0000-00008D170000}"/>
    <cellStyle name="Normal 5 2 2 2 7 2 2" xfId="8166" xr:uid="{00000000-0005-0000-0000-00008E170000}"/>
    <cellStyle name="Normal 5 2 2 2 7 2 2 2" xfId="17492" xr:uid="{0FB182DD-EB8C-4AF1-BD3D-BB0C8AC4827F}"/>
    <cellStyle name="Normal 5 2 2 2 7 2 3" xfId="13275" xr:uid="{E84A8C66-CB26-4A7F-8D5B-5170E0E051E9}"/>
    <cellStyle name="Normal 5 2 2 2 7 3" xfId="6021" xr:uid="{00000000-0005-0000-0000-00008F170000}"/>
    <cellStyle name="Normal 5 2 2 2 7 3 2" xfId="15347" xr:uid="{F806681D-21A5-45B6-A80C-F44BE5696813}"/>
    <cellStyle name="Normal 5 2 2 2 7 4" xfId="11130" xr:uid="{64EA4626-A952-4CEE-A3C4-43BB910A9B99}"/>
    <cellStyle name="Normal 5 2 2 2 8" xfId="2128" xr:uid="{00000000-0005-0000-0000-000090170000}"/>
    <cellStyle name="Normal 5 2 2 2 8 2" xfId="4357" xr:uid="{00000000-0005-0000-0000-000091170000}"/>
    <cellStyle name="Normal 5 2 2 2 8 2 2" xfId="8579" xr:uid="{00000000-0005-0000-0000-000092170000}"/>
    <cellStyle name="Normal 5 2 2 2 8 2 2 2" xfId="17905" xr:uid="{D85FCFF4-DD90-477B-BAED-20C7EEB80881}"/>
    <cellStyle name="Normal 5 2 2 2 8 2 3" xfId="13688" xr:uid="{A79AB182-4071-4BAB-BA16-0F3C531AF2BC}"/>
    <cellStyle name="Normal 5 2 2 2 8 3" xfId="6434" xr:uid="{00000000-0005-0000-0000-000093170000}"/>
    <cellStyle name="Normal 5 2 2 2 8 3 2" xfId="15760" xr:uid="{3870E00E-58FC-44F7-8D46-04B5E96A6B9A}"/>
    <cellStyle name="Normal 5 2 2 2 8 4" xfId="11543" xr:uid="{18C238E2-D864-47C5-87AD-1CF52FE9B876}"/>
    <cellStyle name="Normal 5 2 2 2 9" xfId="2564" xr:uid="{00000000-0005-0000-0000-000094170000}"/>
    <cellStyle name="Normal 5 2 2 2 9 2" xfId="6847" xr:uid="{00000000-0005-0000-0000-000095170000}"/>
    <cellStyle name="Normal 5 2 2 2 9 2 2" xfId="16173" xr:uid="{82CD5891-8081-4066-A228-74085F130C81}"/>
    <cellStyle name="Normal 5 2 2 2 9 3" xfId="11956" xr:uid="{5AD60BB9-4F78-4A74-8B48-1BE6C4ED4A27}"/>
    <cellStyle name="Normal 5 2 2 3" xfId="417" xr:uid="{00000000-0005-0000-0000-000096170000}"/>
    <cellStyle name="Normal 5 2 2 3 10" xfId="8828" xr:uid="{5CED8211-F967-469B-812B-9DF6FC250177}"/>
    <cellStyle name="Normal 5 2 2 3 10 2" xfId="18152" xr:uid="{038175F2-0158-4E28-89F4-4DD7318ED15B}"/>
    <cellStyle name="Normal 5 2 2 3 11" xfId="9899" xr:uid="{6575BBFD-924B-45DF-9A06-7D6BFBBDD09B}"/>
    <cellStyle name="Normal 5 2 2 3 2" xfId="418" xr:uid="{00000000-0005-0000-0000-000097170000}"/>
    <cellStyle name="Normal 5 2 2 3 2 10" xfId="9900" xr:uid="{4C188B68-6342-4F78-B2E5-F1B1D1CDCF35}"/>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2 2 2" xfId="16676" xr:uid="{D089DFFC-9A1E-4179-B67A-AEE2B8D1D960}"/>
    <cellStyle name="Normal 5 2 2 3 2 2 2 2 3" xfId="12459" xr:uid="{29BC0B53-8878-462D-BF8F-11DF12076D4D}"/>
    <cellStyle name="Normal 5 2 2 3 2 2 2 3" xfId="5205" xr:uid="{00000000-0005-0000-0000-00009C170000}"/>
    <cellStyle name="Normal 5 2 2 3 2 2 2 3 2" xfId="14531" xr:uid="{7B87603D-4535-43B2-8AC0-4E0EBA441775}"/>
    <cellStyle name="Normal 5 2 2 3 2 2 2 4" xfId="9563" xr:uid="{804E641C-B5FA-46A3-B805-C1D4AF390C28}"/>
    <cellStyle name="Normal 5 2 2 3 2 2 2 4 2" xfId="18878" xr:uid="{36434A10-2F9F-4900-BF5F-94D03BF0213A}"/>
    <cellStyle name="Normal 5 2 2 3 2 2 2 5" xfId="10314" xr:uid="{5B98FFDE-E7A2-41AC-9AE4-36A94E30B939}"/>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2 2 2" xfId="17089" xr:uid="{A9B19414-ED71-41EB-BA4C-B8AD791585D9}"/>
    <cellStyle name="Normal 5 2 2 3 2 2 3 2 3" xfId="12872" xr:uid="{ED5ECECF-00FD-4026-8233-9CC6056F2F65}"/>
    <cellStyle name="Normal 5 2 2 3 2 2 3 3" xfId="5618" xr:uid="{00000000-0005-0000-0000-0000A0170000}"/>
    <cellStyle name="Normal 5 2 2 3 2 2 3 3 2" xfId="14944" xr:uid="{5E3A324F-CAE0-4F11-B858-02DAA8828DA6}"/>
    <cellStyle name="Normal 5 2 2 3 2 2 3 4" xfId="10727" xr:uid="{561B6FFC-B61F-44DC-9150-36FE359122C5}"/>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2 2 2" xfId="17502" xr:uid="{7C3F055A-5DED-4379-859B-787BEDF7884F}"/>
    <cellStyle name="Normal 5 2 2 3 2 2 4 2 3" xfId="13285" xr:uid="{9B861FD4-9B6A-40B2-A516-919843FAC56D}"/>
    <cellStyle name="Normal 5 2 2 3 2 2 4 3" xfId="6031" xr:uid="{00000000-0005-0000-0000-0000A4170000}"/>
    <cellStyle name="Normal 5 2 2 3 2 2 4 3 2" xfId="15357" xr:uid="{B1301D29-B375-4317-B7D1-A22621B2B701}"/>
    <cellStyle name="Normal 5 2 2 3 2 2 4 4" xfId="11140" xr:uid="{62D59130-3382-473E-990A-42D2FA7ECC87}"/>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2 2 2" xfId="17915" xr:uid="{2026392E-69F7-42A3-9FB5-B53BDB02E69B}"/>
    <cellStyle name="Normal 5 2 2 3 2 2 5 2 3" xfId="13698" xr:uid="{0FE06D03-3DC2-4147-92AF-5E462C44BD07}"/>
    <cellStyle name="Normal 5 2 2 3 2 2 5 3" xfId="6444" xr:uid="{00000000-0005-0000-0000-0000A8170000}"/>
    <cellStyle name="Normal 5 2 2 3 2 2 5 3 2" xfId="15770" xr:uid="{226CA702-6E87-4D44-89EA-4EBEF03ED43A}"/>
    <cellStyle name="Normal 5 2 2 3 2 2 5 4" xfId="11553" xr:uid="{5A711868-CA69-4A7F-9EA5-FEF170B1D35D}"/>
    <cellStyle name="Normal 5 2 2 3 2 2 6" xfId="2574" xr:uid="{00000000-0005-0000-0000-0000A9170000}"/>
    <cellStyle name="Normal 5 2 2 3 2 2 6 2" xfId="6857" xr:uid="{00000000-0005-0000-0000-0000AA170000}"/>
    <cellStyle name="Normal 5 2 2 3 2 2 6 2 2" xfId="16183" xr:uid="{2CD4B89A-9C2D-4EEC-94C4-CED749673C70}"/>
    <cellStyle name="Normal 5 2 2 3 2 2 6 3" xfId="11966" xr:uid="{37EBE180-A7FE-499D-B2CA-65377C3A6B94}"/>
    <cellStyle name="Normal 5 2 2 3 2 2 7" xfId="4792" xr:uid="{00000000-0005-0000-0000-0000AB170000}"/>
    <cellStyle name="Normal 5 2 2 3 2 2 7 2" xfId="14118" xr:uid="{FFD4B5B1-8AAB-4D49-84FD-9128FE4EF7D3}"/>
    <cellStyle name="Normal 5 2 2 3 2 2 8" xfId="9138" xr:uid="{BE73D583-3CAB-48A9-8A6F-E88EE69D1D1D}"/>
    <cellStyle name="Normal 5 2 2 3 2 2 8 2" xfId="18462" xr:uid="{1DED780F-05B4-43ED-B0DB-D719A14665AE}"/>
    <cellStyle name="Normal 5 2 2 3 2 2 9" xfId="9901" xr:uid="{C2A5425B-769C-423B-A738-EAFE4F435464}"/>
    <cellStyle name="Normal 5 2 2 3 2 3" xfId="892" xr:uid="{00000000-0005-0000-0000-0000AC170000}"/>
    <cellStyle name="Normal 5 2 2 3 2 3 2" xfId="3127" xr:uid="{00000000-0005-0000-0000-0000AD170000}"/>
    <cellStyle name="Normal 5 2 2 3 2 3 2 2" xfId="7349" xr:uid="{00000000-0005-0000-0000-0000AE170000}"/>
    <cellStyle name="Normal 5 2 2 3 2 3 2 2 2" xfId="16675" xr:uid="{99997123-E1D2-46CB-83D8-FFDC69779483}"/>
    <cellStyle name="Normal 5 2 2 3 2 3 2 3" xfId="12458" xr:uid="{E62CDB74-0FE0-4F4C-8D5A-C65E872ABBA9}"/>
    <cellStyle name="Normal 5 2 2 3 2 3 3" xfId="5204" xr:uid="{00000000-0005-0000-0000-0000AF170000}"/>
    <cellStyle name="Normal 5 2 2 3 2 3 3 2" xfId="14530" xr:uid="{AE09271B-0478-42AA-A0BC-9C64F57D567E}"/>
    <cellStyle name="Normal 5 2 2 3 2 3 4" xfId="9356" xr:uid="{58BAA3B3-A7A2-4F6F-9929-D8BE9F0A557D}"/>
    <cellStyle name="Normal 5 2 2 3 2 3 4 2" xfId="18671" xr:uid="{CF5F98B3-4A59-4897-A75C-57FE880EE066}"/>
    <cellStyle name="Normal 5 2 2 3 2 3 5" xfId="10313" xr:uid="{B923851D-383E-46E3-9130-A04002DCBC66}"/>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2 2 2" xfId="17088" xr:uid="{388A567E-A8A7-48D3-8CA7-32F17E61CFDA}"/>
    <cellStyle name="Normal 5 2 2 3 2 4 2 3" xfId="12871" xr:uid="{2A8711A1-A519-4A20-90AE-58CF87EC45F9}"/>
    <cellStyle name="Normal 5 2 2 3 2 4 3" xfId="5617" xr:uid="{00000000-0005-0000-0000-0000B3170000}"/>
    <cellStyle name="Normal 5 2 2 3 2 4 3 2" xfId="14943" xr:uid="{B9AF789C-808F-45E7-9182-3869A4FD20D6}"/>
    <cellStyle name="Normal 5 2 2 3 2 4 4" xfId="10726" xr:uid="{EC985359-5830-4873-B197-427129586997}"/>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2 2 2" xfId="17501" xr:uid="{1427FB65-BFEA-4C12-8D1F-7996D49254B9}"/>
    <cellStyle name="Normal 5 2 2 3 2 5 2 3" xfId="13284" xr:uid="{815AD32E-58B1-4564-B1F8-FD034CB6F8DB}"/>
    <cellStyle name="Normal 5 2 2 3 2 5 3" xfId="6030" xr:uid="{00000000-0005-0000-0000-0000B7170000}"/>
    <cellStyle name="Normal 5 2 2 3 2 5 3 2" xfId="15356" xr:uid="{302A8423-5FDF-4FD9-B9EC-4427F9A52571}"/>
    <cellStyle name="Normal 5 2 2 3 2 5 4" xfId="11139" xr:uid="{F0F96CBC-1432-4C7A-A939-4C1CDE932DD4}"/>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2 2 2" xfId="17914" xr:uid="{1BE5CAE9-3D13-48BD-85A1-3E7DBAD85E4B}"/>
    <cellStyle name="Normal 5 2 2 3 2 6 2 3" xfId="13697" xr:uid="{EF265482-FAD6-4470-9C18-EE7B67EFF83E}"/>
    <cellStyle name="Normal 5 2 2 3 2 6 3" xfId="6443" xr:uid="{00000000-0005-0000-0000-0000BB170000}"/>
    <cellStyle name="Normal 5 2 2 3 2 6 3 2" xfId="15769" xr:uid="{6DF9B934-41A2-43A3-91E6-6CE3EC155373}"/>
    <cellStyle name="Normal 5 2 2 3 2 6 4" xfId="11552" xr:uid="{86853F4F-0A4E-460A-B1E8-17A9B6E3E94D}"/>
    <cellStyle name="Normal 5 2 2 3 2 7" xfId="2573" xr:uid="{00000000-0005-0000-0000-0000BC170000}"/>
    <cellStyle name="Normal 5 2 2 3 2 7 2" xfId="6856" xr:uid="{00000000-0005-0000-0000-0000BD170000}"/>
    <cellStyle name="Normal 5 2 2 3 2 7 2 2" xfId="16182" xr:uid="{F8B851DC-1296-474B-884B-E419553E151D}"/>
    <cellStyle name="Normal 5 2 2 3 2 7 3" xfId="11965" xr:uid="{B75DE247-1AD3-46EB-84C8-19300A7AFE51}"/>
    <cellStyle name="Normal 5 2 2 3 2 8" xfId="4791" xr:uid="{00000000-0005-0000-0000-0000BE170000}"/>
    <cellStyle name="Normal 5 2 2 3 2 8 2" xfId="14117" xr:uid="{413E69D1-49AA-443C-90E5-9B65DCF1EF32}"/>
    <cellStyle name="Normal 5 2 2 3 2 9" xfId="8931" xr:uid="{E27E09D3-2564-4B82-8EA4-A27330B6B436}"/>
    <cellStyle name="Normal 5 2 2 3 2 9 2" xfId="18255" xr:uid="{3614C3EC-C78E-42A4-B0F7-5ACAE6C9B3DA}"/>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2 2 2" xfId="16677" xr:uid="{CE5535A2-A4EF-43FD-951D-32331B413B36}"/>
    <cellStyle name="Normal 5 2 2 3 3 2 2 3" xfId="12460" xr:uid="{A54CDED2-3A00-42E8-A01F-9D32403935E8}"/>
    <cellStyle name="Normal 5 2 2 3 3 2 3" xfId="5206" xr:uid="{00000000-0005-0000-0000-0000C3170000}"/>
    <cellStyle name="Normal 5 2 2 3 3 2 3 2" xfId="14532" xr:uid="{3E6DF139-C19B-4499-B01A-85CBB6ADD1C2}"/>
    <cellStyle name="Normal 5 2 2 3 3 2 4" xfId="9460" xr:uid="{423E0BE9-24F3-4EF0-8962-2565594BF831}"/>
    <cellStyle name="Normal 5 2 2 3 3 2 4 2" xfId="18775" xr:uid="{DB20C18A-0894-4E10-8AB0-D9F301127966}"/>
    <cellStyle name="Normal 5 2 2 3 3 2 5" xfId="10315" xr:uid="{F90CE814-DA94-4921-8136-2E440A3A2434}"/>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2 2 2" xfId="17090" xr:uid="{4A6B2087-81F3-4F6C-80DA-88A39747037E}"/>
    <cellStyle name="Normal 5 2 2 3 3 3 2 3" xfId="12873" xr:uid="{9DFF6AB1-7932-4B60-A37F-D4460849CBC4}"/>
    <cellStyle name="Normal 5 2 2 3 3 3 3" xfId="5619" xr:uid="{00000000-0005-0000-0000-0000C7170000}"/>
    <cellStyle name="Normal 5 2 2 3 3 3 3 2" xfId="14945" xr:uid="{5A7B58C3-7BC3-4591-8806-05C2E6D4230A}"/>
    <cellStyle name="Normal 5 2 2 3 3 3 4" xfId="10728" xr:uid="{3BF5FB32-7D32-47F6-BBF3-F3CAB91E6035}"/>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2 2 2" xfId="17503" xr:uid="{8C33D5AC-D89B-414B-9351-BDE11B059714}"/>
    <cellStyle name="Normal 5 2 2 3 3 4 2 3" xfId="13286" xr:uid="{978181CE-A1D4-4C99-95EE-D6AA5A6F1B70}"/>
    <cellStyle name="Normal 5 2 2 3 3 4 3" xfId="6032" xr:uid="{00000000-0005-0000-0000-0000CB170000}"/>
    <cellStyle name="Normal 5 2 2 3 3 4 3 2" xfId="15358" xr:uid="{6946CFE7-1B4B-47AF-A21A-2707CFE90E85}"/>
    <cellStyle name="Normal 5 2 2 3 3 4 4" xfId="11141" xr:uid="{C294AD0C-AD98-4A5D-80C9-F69AF64B58C3}"/>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2 2 2" xfId="17916" xr:uid="{9093F71C-AC65-4EF5-A5E4-BEE9EB2DABDD}"/>
    <cellStyle name="Normal 5 2 2 3 3 5 2 3" xfId="13699" xr:uid="{757E5E78-FE07-4B66-A57A-7547DC31102D}"/>
    <cellStyle name="Normal 5 2 2 3 3 5 3" xfId="6445" xr:uid="{00000000-0005-0000-0000-0000CF170000}"/>
    <cellStyle name="Normal 5 2 2 3 3 5 3 2" xfId="15771" xr:uid="{B4529B53-C20B-4E1D-AAF5-3CB3E77F3C57}"/>
    <cellStyle name="Normal 5 2 2 3 3 5 4" xfId="11554" xr:uid="{F2FCF49D-D6AF-49C8-94C9-41EE33B29ED8}"/>
    <cellStyle name="Normal 5 2 2 3 3 6" xfId="2575" xr:uid="{00000000-0005-0000-0000-0000D0170000}"/>
    <cellStyle name="Normal 5 2 2 3 3 6 2" xfId="6858" xr:uid="{00000000-0005-0000-0000-0000D1170000}"/>
    <cellStyle name="Normal 5 2 2 3 3 6 2 2" xfId="16184" xr:uid="{EE1BF86D-4AD1-412A-8ABA-3BE22B06178C}"/>
    <cellStyle name="Normal 5 2 2 3 3 6 3" xfId="11967" xr:uid="{F58F57B1-B80D-47A1-ABEA-FCE35E1BD55C}"/>
    <cellStyle name="Normal 5 2 2 3 3 7" xfId="4793" xr:uid="{00000000-0005-0000-0000-0000D2170000}"/>
    <cellStyle name="Normal 5 2 2 3 3 7 2" xfId="14119" xr:uid="{9262AB2C-B786-4E15-8103-BEF98639F053}"/>
    <cellStyle name="Normal 5 2 2 3 3 8" xfId="9035" xr:uid="{6AC57173-16AF-4847-A277-E4254AACDA36}"/>
    <cellStyle name="Normal 5 2 2 3 3 8 2" xfId="18359" xr:uid="{6F15EFBE-D94F-4529-B63C-3EEAF0B6E6DB}"/>
    <cellStyle name="Normal 5 2 2 3 3 9" xfId="9902" xr:uid="{90F0CD65-5D28-4124-9ACC-8B6101C79503}"/>
    <cellStyle name="Normal 5 2 2 3 4" xfId="891" xr:uid="{00000000-0005-0000-0000-0000D3170000}"/>
    <cellStyle name="Normal 5 2 2 3 4 2" xfId="3126" xr:uid="{00000000-0005-0000-0000-0000D4170000}"/>
    <cellStyle name="Normal 5 2 2 3 4 2 2" xfId="7348" xr:uid="{00000000-0005-0000-0000-0000D5170000}"/>
    <cellStyle name="Normal 5 2 2 3 4 2 2 2" xfId="16674" xr:uid="{7E092911-248A-4746-9A3E-E8D3D4DDB776}"/>
    <cellStyle name="Normal 5 2 2 3 4 2 3" xfId="12457" xr:uid="{151C8310-529F-42AC-B75F-64E3E8B5DB27}"/>
    <cellStyle name="Normal 5 2 2 3 4 3" xfId="5203" xr:uid="{00000000-0005-0000-0000-0000D6170000}"/>
    <cellStyle name="Normal 5 2 2 3 4 3 2" xfId="14529" xr:uid="{C99C70CA-6372-4AE5-87E5-23CB070DB5C3}"/>
    <cellStyle name="Normal 5 2 2 3 4 4" xfId="9253" xr:uid="{A5C3AAF9-67DD-41B1-A0BF-05B69F588F71}"/>
    <cellStyle name="Normal 5 2 2 3 4 4 2" xfId="18568" xr:uid="{F6450807-8897-4D72-8B83-A0B843F34B67}"/>
    <cellStyle name="Normal 5 2 2 3 4 5" xfId="10312" xr:uid="{D6B57FB6-1FF8-483C-AF63-D92CA3822ED2}"/>
    <cellStyle name="Normal 5 2 2 3 5" xfId="1309" xr:uid="{00000000-0005-0000-0000-0000D7170000}"/>
    <cellStyle name="Normal 5 2 2 3 5 2" xfId="3539" xr:uid="{00000000-0005-0000-0000-0000D8170000}"/>
    <cellStyle name="Normal 5 2 2 3 5 2 2" xfId="7761" xr:uid="{00000000-0005-0000-0000-0000D9170000}"/>
    <cellStyle name="Normal 5 2 2 3 5 2 2 2" xfId="17087" xr:uid="{8575F724-48F3-40D1-9821-0DF3F5D9987C}"/>
    <cellStyle name="Normal 5 2 2 3 5 2 3" xfId="12870" xr:uid="{04A8619B-941F-4ACD-8D87-A033EE72F1A0}"/>
    <cellStyle name="Normal 5 2 2 3 5 3" xfId="5616" xr:uid="{00000000-0005-0000-0000-0000DA170000}"/>
    <cellStyle name="Normal 5 2 2 3 5 3 2" xfId="14942" xr:uid="{D7132926-9983-4ABD-B2A6-8F3F8126D400}"/>
    <cellStyle name="Normal 5 2 2 3 5 4" xfId="10725" xr:uid="{C2ABA899-16EA-496D-BFC4-7FDDF7127726}"/>
    <cellStyle name="Normal 5 2 2 3 6" xfId="1722" xr:uid="{00000000-0005-0000-0000-0000DB170000}"/>
    <cellStyle name="Normal 5 2 2 3 6 2" xfId="3952" xr:uid="{00000000-0005-0000-0000-0000DC170000}"/>
    <cellStyle name="Normal 5 2 2 3 6 2 2" xfId="8174" xr:uid="{00000000-0005-0000-0000-0000DD170000}"/>
    <cellStyle name="Normal 5 2 2 3 6 2 2 2" xfId="17500" xr:uid="{91A40306-FA5B-4D08-B0B3-5201FB2D3667}"/>
    <cellStyle name="Normal 5 2 2 3 6 2 3" xfId="13283" xr:uid="{839BD1FC-0903-4E37-96ED-ADF1E4BFF9FF}"/>
    <cellStyle name="Normal 5 2 2 3 6 3" xfId="6029" xr:uid="{00000000-0005-0000-0000-0000DE170000}"/>
    <cellStyle name="Normal 5 2 2 3 6 3 2" xfId="15355" xr:uid="{5F8156DD-DC9E-4033-B0B1-BC81132FA372}"/>
    <cellStyle name="Normal 5 2 2 3 6 4" xfId="11138" xr:uid="{2EB0CAAA-E83D-42BC-8736-D2ABB3761905}"/>
    <cellStyle name="Normal 5 2 2 3 7" xfId="2136" xr:uid="{00000000-0005-0000-0000-0000DF170000}"/>
    <cellStyle name="Normal 5 2 2 3 7 2" xfId="4365" xr:uid="{00000000-0005-0000-0000-0000E0170000}"/>
    <cellStyle name="Normal 5 2 2 3 7 2 2" xfId="8587" xr:uid="{00000000-0005-0000-0000-0000E1170000}"/>
    <cellStyle name="Normal 5 2 2 3 7 2 2 2" xfId="17913" xr:uid="{D64A4C70-0CE4-4E93-B4AA-17355BFF1627}"/>
    <cellStyle name="Normal 5 2 2 3 7 2 3" xfId="13696" xr:uid="{844B53DD-44FE-46CD-92AB-0A61189721F2}"/>
    <cellStyle name="Normal 5 2 2 3 7 3" xfId="6442" xr:uid="{00000000-0005-0000-0000-0000E2170000}"/>
    <cellStyle name="Normal 5 2 2 3 7 3 2" xfId="15768" xr:uid="{F9A4B4A1-FEF0-448B-BCAD-5BD9BC35AE23}"/>
    <cellStyle name="Normal 5 2 2 3 7 4" xfId="11551" xr:uid="{40113B74-2C1D-4E57-ACBA-444CB977144D}"/>
    <cellStyle name="Normal 5 2 2 3 8" xfId="2572" xr:uid="{00000000-0005-0000-0000-0000E3170000}"/>
    <cellStyle name="Normal 5 2 2 3 8 2" xfId="6855" xr:uid="{00000000-0005-0000-0000-0000E4170000}"/>
    <cellStyle name="Normal 5 2 2 3 8 2 2" xfId="16181" xr:uid="{E488CD73-6FE7-4C95-8B51-BD007D7200BB}"/>
    <cellStyle name="Normal 5 2 2 3 8 3" xfId="11964" xr:uid="{A55CD68E-885C-488C-B543-675D806B9A99}"/>
    <cellStyle name="Normal 5 2 2 3 9" xfId="4790" xr:uid="{00000000-0005-0000-0000-0000E5170000}"/>
    <cellStyle name="Normal 5 2 2 3 9 2" xfId="14116" xr:uid="{B00206A4-8123-4EBD-88AF-F4B45B290ABF}"/>
    <cellStyle name="Normal 5 2 2 4" xfId="421" xr:uid="{00000000-0005-0000-0000-0000E6170000}"/>
    <cellStyle name="Normal 5 2 2 4 10" xfId="9903" xr:uid="{9AB651AB-B662-40D2-A845-C898FD01C7A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2 2 2" xfId="16679" xr:uid="{17D0E01E-B221-4E44-816E-26E74ED733D1}"/>
    <cellStyle name="Normal 5 2 2 4 2 2 2 3" xfId="12462" xr:uid="{C9810E96-BC39-4D43-839F-3ACB5099B8BA}"/>
    <cellStyle name="Normal 5 2 2 4 2 2 3" xfId="5208" xr:uid="{00000000-0005-0000-0000-0000EB170000}"/>
    <cellStyle name="Normal 5 2 2 4 2 2 3 2" xfId="14534" xr:uid="{C9BCE05E-E069-4639-9B70-0C173816EE0A}"/>
    <cellStyle name="Normal 5 2 2 4 2 2 4" xfId="9488" xr:uid="{2997B11D-E810-48A4-BD3C-4498479B295E}"/>
    <cellStyle name="Normal 5 2 2 4 2 2 4 2" xfId="18803" xr:uid="{A46BB0CB-5C9F-4F98-8A1E-51BE662C3810}"/>
    <cellStyle name="Normal 5 2 2 4 2 2 5" xfId="10317" xr:uid="{8D644CBF-1864-45C5-9081-1BD39FE48D23}"/>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2 2 2" xfId="17092" xr:uid="{8180D04E-776D-477F-94F7-00E2727F1204}"/>
    <cellStyle name="Normal 5 2 2 4 2 3 2 3" xfId="12875" xr:uid="{EECCA332-5582-4572-9C0A-C59F9C21E152}"/>
    <cellStyle name="Normal 5 2 2 4 2 3 3" xfId="5621" xr:uid="{00000000-0005-0000-0000-0000EF170000}"/>
    <cellStyle name="Normal 5 2 2 4 2 3 3 2" xfId="14947" xr:uid="{DEC833DD-D671-44AB-BC14-B5FC85B6565B}"/>
    <cellStyle name="Normal 5 2 2 4 2 3 4" xfId="10730" xr:uid="{5E6078B6-1DF1-4C3A-B8A5-2F4C7B5694B6}"/>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2 2 2" xfId="17505" xr:uid="{EFB5F427-55F9-472A-8D36-5514433E6DD4}"/>
    <cellStyle name="Normal 5 2 2 4 2 4 2 3" xfId="13288" xr:uid="{07DB1F2B-60D5-4F53-A98E-F87EAC857ED2}"/>
    <cellStyle name="Normal 5 2 2 4 2 4 3" xfId="6034" xr:uid="{00000000-0005-0000-0000-0000F3170000}"/>
    <cellStyle name="Normal 5 2 2 4 2 4 3 2" xfId="15360" xr:uid="{B2153339-EDC7-43BF-ADA0-F66C76F206C5}"/>
    <cellStyle name="Normal 5 2 2 4 2 4 4" xfId="11143" xr:uid="{9CB8D6C1-7436-4141-B6A2-29A83C47ABA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2 2 2" xfId="17918" xr:uid="{1C016135-2D3B-4789-A671-2DF91B67A44A}"/>
    <cellStyle name="Normal 5 2 2 4 2 5 2 3" xfId="13701" xr:uid="{D6BE2F1A-D2F2-4C64-B1F6-9DFA8CD890E7}"/>
    <cellStyle name="Normal 5 2 2 4 2 5 3" xfId="6447" xr:uid="{00000000-0005-0000-0000-0000F7170000}"/>
    <cellStyle name="Normal 5 2 2 4 2 5 3 2" xfId="15773" xr:uid="{BE18600F-8AF6-40B6-AE4F-990FB798EF8E}"/>
    <cellStyle name="Normal 5 2 2 4 2 5 4" xfId="11556" xr:uid="{344CB169-B88D-45B1-B1BC-CDFEEB06AE2D}"/>
    <cellStyle name="Normal 5 2 2 4 2 6" xfId="2577" xr:uid="{00000000-0005-0000-0000-0000F8170000}"/>
    <cellStyle name="Normal 5 2 2 4 2 6 2" xfId="6860" xr:uid="{00000000-0005-0000-0000-0000F9170000}"/>
    <cellStyle name="Normal 5 2 2 4 2 6 2 2" xfId="16186" xr:uid="{2144F36D-9309-4942-A39C-8B7090C5A279}"/>
    <cellStyle name="Normal 5 2 2 4 2 6 3" xfId="11969" xr:uid="{D29FB73D-2F29-4DB5-A4DD-7783757EC105}"/>
    <cellStyle name="Normal 5 2 2 4 2 7" xfId="4795" xr:uid="{00000000-0005-0000-0000-0000FA170000}"/>
    <cellStyle name="Normal 5 2 2 4 2 7 2" xfId="14121" xr:uid="{A3313F94-2A64-4A12-9939-BBDCA8F99D25}"/>
    <cellStyle name="Normal 5 2 2 4 2 8" xfId="9063" xr:uid="{3B1AA107-8D7F-4938-A60C-EED41E9B9A2A}"/>
    <cellStyle name="Normal 5 2 2 4 2 8 2" xfId="18387" xr:uid="{3F9A2605-4DE8-4B8E-ADDF-CC96D9B9886E}"/>
    <cellStyle name="Normal 5 2 2 4 2 9" xfId="9904" xr:uid="{7ABC8659-6A62-4F7B-9C0D-1CEA853CE84B}"/>
    <cellStyle name="Normal 5 2 2 4 3" xfId="895" xr:uid="{00000000-0005-0000-0000-0000FB170000}"/>
    <cellStyle name="Normal 5 2 2 4 3 2" xfId="3130" xr:uid="{00000000-0005-0000-0000-0000FC170000}"/>
    <cellStyle name="Normal 5 2 2 4 3 2 2" xfId="7352" xr:uid="{00000000-0005-0000-0000-0000FD170000}"/>
    <cellStyle name="Normal 5 2 2 4 3 2 2 2" xfId="16678" xr:uid="{88985C93-58AE-485F-B6DF-70C69F3D23DE}"/>
    <cellStyle name="Normal 5 2 2 4 3 2 3" xfId="12461" xr:uid="{E71168FC-0797-4E01-961A-2A010FE90FA8}"/>
    <cellStyle name="Normal 5 2 2 4 3 3" xfId="5207" xr:uid="{00000000-0005-0000-0000-0000FE170000}"/>
    <cellStyle name="Normal 5 2 2 4 3 3 2" xfId="14533" xr:uid="{F3B97487-5CFA-42EF-9592-589023CBC770}"/>
    <cellStyle name="Normal 5 2 2 4 3 4" xfId="9281" xr:uid="{9304050F-95A7-4BE3-AD21-FEBB7D0875B2}"/>
    <cellStyle name="Normal 5 2 2 4 3 4 2" xfId="18596" xr:uid="{38EE17E5-6FF9-4269-8AE8-05C3F13892CA}"/>
    <cellStyle name="Normal 5 2 2 4 3 5" xfId="10316" xr:uid="{657EDDF1-F74C-4297-85F9-0213D2407B5F}"/>
    <cellStyle name="Normal 5 2 2 4 4" xfId="1313" xr:uid="{00000000-0005-0000-0000-0000FF170000}"/>
    <cellStyle name="Normal 5 2 2 4 4 2" xfId="3543" xr:uid="{00000000-0005-0000-0000-000000180000}"/>
    <cellStyle name="Normal 5 2 2 4 4 2 2" xfId="7765" xr:uid="{00000000-0005-0000-0000-000001180000}"/>
    <cellStyle name="Normal 5 2 2 4 4 2 2 2" xfId="17091" xr:uid="{30073D4A-15DD-4531-86D1-4F73C153DD47}"/>
    <cellStyle name="Normal 5 2 2 4 4 2 3" xfId="12874" xr:uid="{D1850A12-EFFA-4BEE-BB28-33FF4F579968}"/>
    <cellStyle name="Normal 5 2 2 4 4 3" xfId="5620" xr:uid="{00000000-0005-0000-0000-000002180000}"/>
    <cellStyle name="Normal 5 2 2 4 4 3 2" xfId="14946" xr:uid="{E389AE2C-A8D6-4388-A94C-1D2767A646ED}"/>
    <cellStyle name="Normal 5 2 2 4 4 4" xfId="10729" xr:uid="{DF86C1F5-713F-4AFE-86ED-BE48020406C8}"/>
    <cellStyle name="Normal 5 2 2 4 5" xfId="1726" xr:uid="{00000000-0005-0000-0000-000003180000}"/>
    <cellStyle name="Normal 5 2 2 4 5 2" xfId="3956" xr:uid="{00000000-0005-0000-0000-000004180000}"/>
    <cellStyle name="Normal 5 2 2 4 5 2 2" xfId="8178" xr:uid="{00000000-0005-0000-0000-000005180000}"/>
    <cellStyle name="Normal 5 2 2 4 5 2 2 2" xfId="17504" xr:uid="{54AB44D6-4422-4CA3-A744-08DCE184B4AE}"/>
    <cellStyle name="Normal 5 2 2 4 5 2 3" xfId="13287" xr:uid="{DD245706-5796-4837-90BC-807B7A8899B2}"/>
    <cellStyle name="Normal 5 2 2 4 5 3" xfId="6033" xr:uid="{00000000-0005-0000-0000-000006180000}"/>
    <cellStyle name="Normal 5 2 2 4 5 3 2" xfId="15359" xr:uid="{E46F756B-49F4-43FE-A30C-2B9510020663}"/>
    <cellStyle name="Normal 5 2 2 4 5 4" xfId="11142" xr:uid="{22D8A044-F3CC-4EA9-930D-DAD295A49C1A}"/>
    <cellStyle name="Normal 5 2 2 4 6" xfId="2140" xr:uid="{00000000-0005-0000-0000-000007180000}"/>
    <cellStyle name="Normal 5 2 2 4 6 2" xfId="4369" xr:uid="{00000000-0005-0000-0000-000008180000}"/>
    <cellStyle name="Normal 5 2 2 4 6 2 2" xfId="8591" xr:uid="{00000000-0005-0000-0000-000009180000}"/>
    <cellStyle name="Normal 5 2 2 4 6 2 2 2" xfId="17917" xr:uid="{47F1866D-9CB1-465C-9C84-8E4F48E93F43}"/>
    <cellStyle name="Normal 5 2 2 4 6 2 3" xfId="13700" xr:uid="{FAC4ACBC-C1F7-4673-8E78-31D25BFD7AF9}"/>
    <cellStyle name="Normal 5 2 2 4 6 3" xfId="6446" xr:uid="{00000000-0005-0000-0000-00000A180000}"/>
    <cellStyle name="Normal 5 2 2 4 6 3 2" xfId="15772" xr:uid="{C07FDAB9-0C49-4EF8-B3FF-7903905B77A8}"/>
    <cellStyle name="Normal 5 2 2 4 6 4" xfId="11555" xr:uid="{D4552A67-9C37-493A-A47C-12DD4D7F6B3D}"/>
    <cellStyle name="Normal 5 2 2 4 7" xfId="2576" xr:uid="{00000000-0005-0000-0000-00000B180000}"/>
    <cellStyle name="Normal 5 2 2 4 7 2" xfId="6859" xr:uid="{00000000-0005-0000-0000-00000C180000}"/>
    <cellStyle name="Normal 5 2 2 4 7 2 2" xfId="16185" xr:uid="{81DAAC52-05E1-4E41-A4EA-597A1B7F027A}"/>
    <cellStyle name="Normal 5 2 2 4 7 3" xfId="11968" xr:uid="{81E9B56C-EF1C-4D67-A142-87AFA66E06AC}"/>
    <cellStyle name="Normal 5 2 2 4 8" xfId="4794" xr:uid="{00000000-0005-0000-0000-00000D180000}"/>
    <cellStyle name="Normal 5 2 2 4 8 2" xfId="14120" xr:uid="{6F436E1C-A14B-4F89-9FED-05234B1EDF7F}"/>
    <cellStyle name="Normal 5 2 2 4 9" xfId="8856" xr:uid="{8A537EF5-BE1D-4B82-9546-B2DC1F74308F}"/>
    <cellStyle name="Normal 5 2 2 4 9 2" xfId="18180" xr:uid="{980A803C-DC9D-4B2A-B754-A5223257FCE2}"/>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2 2 2" xfId="16680" xr:uid="{4C20E7F5-4AFE-4F50-9F38-9C795485DCF3}"/>
    <cellStyle name="Normal 5 2 2 5 2 2 3" xfId="12463" xr:uid="{20C3DC6D-407C-4A0F-BD61-6A67A7562A96}"/>
    <cellStyle name="Normal 5 2 2 5 2 3" xfId="5209" xr:uid="{00000000-0005-0000-0000-000012180000}"/>
    <cellStyle name="Normal 5 2 2 5 2 3 2" xfId="14535" xr:uid="{22B62DDE-BB5C-4061-AA97-6B175699ACC3}"/>
    <cellStyle name="Normal 5 2 2 5 2 4" xfId="9397" xr:uid="{3CB0B9A4-F907-4F52-ACFC-7970F7AF9B13}"/>
    <cellStyle name="Normal 5 2 2 5 2 4 2" xfId="18712" xr:uid="{B23E87FC-C73D-42C0-8014-33AD93A8A672}"/>
    <cellStyle name="Normal 5 2 2 5 2 5" xfId="10318" xr:uid="{2AF6CF5C-B174-4E20-B3BD-ABF18E9B452A}"/>
    <cellStyle name="Normal 5 2 2 5 3" xfId="1315" xr:uid="{00000000-0005-0000-0000-000013180000}"/>
    <cellStyle name="Normal 5 2 2 5 3 2" xfId="3545" xr:uid="{00000000-0005-0000-0000-000014180000}"/>
    <cellStyle name="Normal 5 2 2 5 3 2 2" xfId="7767" xr:uid="{00000000-0005-0000-0000-000015180000}"/>
    <cellStyle name="Normal 5 2 2 5 3 2 2 2" xfId="17093" xr:uid="{CCE00E35-65A5-4FA7-9BF7-F35628A63F47}"/>
    <cellStyle name="Normal 5 2 2 5 3 2 3" xfId="12876" xr:uid="{40001DEA-0E16-43A3-AB2F-4C70D055451C}"/>
    <cellStyle name="Normal 5 2 2 5 3 3" xfId="5622" xr:uid="{00000000-0005-0000-0000-000016180000}"/>
    <cellStyle name="Normal 5 2 2 5 3 3 2" xfId="14948" xr:uid="{F1432481-3883-4A07-B9A5-731287CBE9DC}"/>
    <cellStyle name="Normal 5 2 2 5 3 4" xfId="10731" xr:uid="{EDD1D179-9E8B-4CAB-B8D0-F657F05A2B65}"/>
    <cellStyle name="Normal 5 2 2 5 4" xfId="1728" xr:uid="{00000000-0005-0000-0000-000017180000}"/>
    <cellStyle name="Normal 5 2 2 5 4 2" xfId="3958" xr:uid="{00000000-0005-0000-0000-000018180000}"/>
    <cellStyle name="Normal 5 2 2 5 4 2 2" xfId="8180" xr:uid="{00000000-0005-0000-0000-000019180000}"/>
    <cellStyle name="Normal 5 2 2 5 4 2 2 2" xfId="17506" xr:uid="{709E8953-713E-4C5B-BAF2-FCE5087962EA}"/>
    <cellStyle name="Normal 5 2 2 5 4 2 3" xfId="13289" xr:uid="{59A84006-24C0-478F-9BDB-DB97056A41E0}"/>
    <cellStyle name="Normal 5 2 2 5 4 3" xfId="6035" xr:uid="{00000000-0005-0000-0000-00001A180000}"/>
    <cellStyle name="Normal 5 2 2 5 4 3 2" xfId="15361" xr:uid="{8B1DF21D-1BE7-44DA-8E8A-05862C5F9215}"/>
    <cellStyle name="Normal 5 2 2 5 4 4" xfId="11144" xr:uid="{6097710F-5CE8-4ED0-A8CF-16FEB8466A1E}"/>
    <cellStyle name="Normal 5 2 2 5 5" xfId="2142" xr:uid="{00000000-0005-0000-0000-00001B180000}"/>
    <cellStyle name="Normal 5 2 2 5 5 2" xfId="4371" xr:uid="{00000000-0005-0000-0000-00001C180000}"/>
    <cellStyle name="Normal 5 2 2 5 5 2 2" xfId="8593" xr:uid="{00000000-0005-0000-0000-00001D180000}"/>
    <cellStyle name="Normal 5 2 2 5 5 2 2 2" xfId="17919" xr:uid="{0563D304-1945-41E8-9424-F4E37B0A0475}"/>
    <cellStyle name="Normal 5 2 2 5 5 2 3" xfId="13702" xr:uid="{BC3FD77B-6470-4FAC-8363-FEA04C1BDF64}"/>
    <cellStyle name="Normal 5 2 2 5 5 3" xfId="6448" xr:uid="{00000000-0005-0000-0000-00001E180000}"/>
    <cellStyle name="Normal 5 2 2 5 5 3 2" xfId="15774" xr:uid="{16C11346-FE03-49D4-B682-4FF98C5C401B}"/>
    <cellStyle name="Normal 5 2 2 5 5 4" xfId="11557" xr:uid="{4AF2DEAC-F0E2-4F03-B1C3-934DF238FB04}"/>
    <cellStyle name="Normal 5 2 2 5 6" xfId="2578" xr:uid="{00000000-0005-0000-0000-00001F180000}"/>
    <cellStyle name="Normal 5 2 2 5 6 2" xfId="6861" xr:uid="{00000000-0005-0000-0000-000020180000}"/>
    <cellStyle name="Normal 5 2 2 5 6 2 2" xfId="16187" xr:uid="{F2ADFA38-5EF7-4105-9CA7-0DCC49033D5E}"/>
    <cellStyle name="Normal 5 2 2 5 6 3" xfId="11970" xr:uid="{8FB47F3B-45C5-428F-B49C-38DD0AA6B92E}"/>
    <cellStyle name="Normal 5 2 2 5 7" xfId="4796" xr:uid="{00000000-0005-0000-0000-000021180000}"/>
    <cellStyle name="Normal 5 2 2 5 7 2" xfId="14122" xr:uid="{72688A13-666F-4C4B-89FA-1262BBA77F43}"/>
    <cellStyle name="Normal 5 2 2 5 8" xfId="8972" xr:uid="{3CCC8856-6464-4309-A4F9-43F74A48C503}"/>
    <cellStyle name="Normal 5 2 2 5 8 2" xfId="18296" xr:uid="{E41F7DA0-B1B3-4FAC-B055-DCD32FE95836}"/>
    <cellStyle name="Normal 5 2 2 5 9" xfId="9905" xr:uid="{C4D580B6-0A2A-457C-9BC0-B38A6F0416C3}"/>
    <cellStyle name="Normal 5 2 2 6" xfId="882" xr:uid="{00000000-0005-0000-0000-000022180000}"/>
    <cellStyle name="Normal 5 2 2 6 2" xfId="3117" xr:uid="{00000000-0005-0000-0000-000023180000}"/>
    <cellStyle name="Normal 5 2 2 6 2 2" xfId="7339" xr:uid="{00000000-0005-0000-0000-000024180000}"/>
    <cellStyle name="Normal 5 2 2 6 2 2 2" xfId="16665" xr:uid="{65D8BA49-D100-4FB8-99EA-26724289BDBF}"/>
    <cellStyle name="Normal 5 2 2 6 2 3" xfId="12448" xr:uid="{C952B10C-938F-4A17-8D96-293FB00BB013}"/>
    <cellStyle name="Normal 5 2 2 6 3" xfId="5194" xr:uid="{00000000-0005-0000-0000-000025180000}"/>
    <cellStyle name="Normal 5 2 2 6 3 2" xfId="14520" xr:uid="{44D11572-9667-4128-AA33-893E8C0799C9}"/>
    <cellStyle name="Normal 5 2 2 6 4" xfId="9175" xr:uid="{A0BC076A-DB75-4963-A17E-57836FA6391D}"/>
    <cellStyle name="Normal 5 2 2 6 4 2" xfId="18493" xr:uid="{4F4AD551-E19A-4DCF-9D56-20CEE3C52E13}"/>
    <cellStyle name="Normal 5 2 2 6 5" xfId="10303" xr:uid="{656A6D6F-D502-457C-8688-E46F5CA0DD28}"/>
    <cellStyle name="Normal 5 2 2 7" xfId="1300" xr:uid="{00000000-0005-0000-0000-000026180000}"/>
    <cellStyle name="Normal 5 2 2 7 2" xfId="3530" xr:uid="{00000000-0005-0000-0000-000027180000}"/>
    <cellStyle name="Normal 5 2 2 7 2 2" xfId="7752" xr:uid="{00000000-0005-0000-0000-000028180000}"/>
    <cellStyle name="Normal 5 2 2 7 2 2 2" xfId="17078" xr:uid="{671210B9-6C14-4656-A24A-11E06B06F914}"/>
    <cellStyle name="Normal 5 2 2 7 2 3" xfId="12861" xr:uid="{582E629B-CF5F-4E90-BCDF-D7CE0FF6B597}"/>
    <cellStyle name="Normal 5 2 2 7 3" xfId="5607" xr:uid="{00000000-0005-0000-0000-000029180000}"/>
    <cellStyle name="Normal 5 2 2 7 3 2" xfId="14933" xr:uid="{FA701526-CF33-4C54-892D-76C3DF06ADE7}"/>
    <cellStyle name="Normal 5 2 2 7 4" xfId="10716" xr:uid="{E37FB5EB-60BC-4FB7-9390-F57B6FAC72A1}"/>
    <cellStyle name="Normal 5 2 2 8" xfId="1713" xr:uid="{00000000-0005-0000-0000-00002A180000}"/>
    <cellStyle name="Normal 5 2 2 8 2" xfId="3943" xr:uid="{00000000-0005-0000-0000-00002B180000}"/>
    <cellStyle name="Normal 5 2 2 8 2 2" xfId="8165" xr:uid="{00000000-0005-0000-0000-00002C180000}"/>
    <cellStyle name="Normal 5 2 2 8 2 2 2" xfId="17491" xr:uid="{0B38497D-78A7-416A-A3F6-5AD49B34387B}"/>
    <cellStyle name="Normal 5 2 2 8 2 3" xfId="13274" xr:uid="{999FB0F8-556C-4950-8C48-AED6A6CFB75D}"/>
    <cellStyle name="Normal 5 2 2 8 3" xfId="6020" xr:uid="{00000000-0005-0000-0000-00002D180000}"/>
    <cellStyle name="Normal 5 2 2 8 3 2" xfId="15346" xr:uid="{8E742678-EA18-4FD0-B5A7-E5A9D8D230BA}"/>
    <cellStyle name="Normal 5 2 2 8 4" xfId="11129" xr:uid="{A65AE199-F62E-496D-926B-6CA73702156C}"/>
    <cellStyle name="Normal 5 2 2 9" xfId="2127" xr:uid="{00000000-0005-0000-0000-00002E180000}"/>
    <cellStyle name="Normal 5 2 2 9 2" xfId="4356" xr:uid="{00000000-0005-0000-0000-00002F180000}"/>
    <cellStyle name="Normal 5 2 2 9 2 2" xfId="8578" xr:uid="{00000000-0005-0000-0000-000030180000}"/>
    <cellStyle name="Normal 5 2 2 9 2 2 2" xfId="17904" xr:uid="{D30A46D1-B395-435F-A87C-1FC154D54F2D}"/>
    <cellStyle name="Normal 5 2 2 9 2 3" xfId="13687" xr:uid="{ED2BCC78-EFA5-4ED5-9418-6EBEA0B57FE2}"/>
    <cellStyle name="Normal 5 2 2 9 3" xfId="6433" xr:uid="{00000000-0005-0000-0000-000031180000}"/>
    <cellStyle name="Normal 5 2 2 9 3 2" xfId="15759" xr:uid="{087B7D78-8BE9-459E-A817-FEB7CD61CE22}"/>
    <cellStyle name="Normal 5 2 2 9 4" xfId="11542" xr:uid="{51D56E01-9A5A-4B25-8703-870FCB69AC9C}"/>
    <cellStyle name="Normal 5 2 3" xfId="424" xr:uid="{00000000-0005-0000-0000-000032180000}"/>
    <cellStyle name="Normal 5 2 3 10" xfId="4797" xr:uid="{00000000-0005-0000-0000-000033180000}"/>
    <cellStyle name="Normal 5 2 3 10 2" xfId="14123" xr:uid="{5AAA85BE-E42C-4EA7-B3D2-41E8A7176E49}"/>
    <cellStyle name="Normal 5 2 3 11" xfId="8776" xr:uid="{883173D2-CE3E-48F3-8E13-32EAEF7B08C3}"/>
    <cellStyle name="Normal 5 2 3 11 2" xfId="18100" xr:uid="{DA2F4E72-53FA-4808-8058-122B90EA7D37}"/>
    <cellStyle name="Normal 5 2 3 12" xfId="9906" xr:uid="{28921E4D-AA7E-407D-9A8A-CD1BC50602FD}"/>
    <cellStyle name="Normal 5 2 3 2" xfId="425" xr:uid="{00000000-0005-0000-0000-000034180000}"/>
    <cellStyle name="Normal 5 2 3 2 10" xfId="8830" xr:uid="{287E15F2-6F23-4B3E-B8AA-9DE92D950FBA}"/>
    <cellStyle name="Normal 5 2 3 2 10 2" xfId="18154" xr:uid="{C917739A-367C-4733-8BF4-69A95502B456}"/>
    <cellStyle name="Normal 5 2 3 2 11" xfId="9907" xr:uid="{DCBD38C4-0B6E-4418-A1B2-2D98F499AFE3}"/>
    <cellStyle name="Normal 5 2 3 2 2" xfId="426" xr:uid="{00000000-0005-0000-0000-000035180000}"/>
    <cellStyle name="Normal 5 2 3 2 2 10" xfId="9908" xr:uid="{CC8E8943-A00C-4D67-9BAA-7412360B1722}"/>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2 2 2" xfId="16684" xr:uid="{197DD588-14F5-4C6B-8809-B36E76C8CEFA}"/>
    <cellStyle name="Normal 5 2 3 2 2 2 2 2 3" xfId="12467" xr:uid="{EA934F5D-3F41-4E17-8D81-1692C5B54B90}"/>
    <cellStyle name="Normal 5 2 3 2 2 2 2 3" xfId="5213" xr:uid="{00000000-0005-0000-0000-00003A180000}"/>
    <cellStyle name="Normal 5 2 3 2 2 2 2 3 2" xfId="14539" xr:uid="{FE1F696E-5896-4947-B542-6C4891AECBC8}"/>
    <cellStyle name="Normal 5 2 3 2 2 2 2 4" xfId="9565" xr:uid="{B33C5ECB-02D9-4BAF-B467-F38E8EEB7F6E}"/>
    <cellStyle name="Normal 5 2 3 2 2 2 2 4 2" xfId="18880" xr:uid="{75CD3FC7-3EA1-422C-8E03-74DFC9A9F4CD}"/>
    <cellStyle name="Normal 5 2 3 2 2 2 2 5" xfId="10322" xr:uid="{21F041B0-785E-4261-A96C-A19AE7EC26D3}"/>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2 2 2" xfId="17097" xr:uid="{201C2967-8BCF-4F14-8044-97C9A59082A8}"/>
    <cellStyle name="Normal 5 2 3 2 2 2 3 2 3" xfId="12880" xr:uid="{E44A1611-C809-43C9-8EF0-05EB838626D6}"/>
    <cellStyle name="Normal 5 2 3 2 2 2 3 3" xfId="5626" xr:uid="{00000000-0005-0000-0000-00003E180000}"/>
    <cellStyle name="Normal 5 2 3 2 2 2 3 3 2" xfId="14952" xr:uid="{DC9D8CFB-AC9E-4081-BD47-C7182AF6CCF7}"/>
    <cellStyle name="Normal 5 2 3 2 2 2 3 4" xfId="10735" xr:uid="{0F424BAB-A7E2-4EB5-81EC-4AD7CED5EAEF}"/>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2 2 2" xfId="17510" xr:uid="{3A5FA7E6-7158-4B08-8099-D8E9BE6AB2D9}"/>
    <cellStyle name="Normal 5 2 3 2 2 2 4 2 3" xfId="13293" xr:uid="{CA36AD06-07C1-4A9B-AB9C-9C031AFA6CCD}"/>
    <cellStyle name="Normal 5 2 3 2 2 2 4 3" xfId="6039" xr:uid="{00000000-0005-0000-0000-000042180000}"/>
    <cellStyle name="Normal 5 2 3 2 2 2 4 3 2" xfId="15365" xr:uid="{F1481A58-839F-48BA-ADB7-D88DA57DA985}"/>
    <cellStyle name="Normal 5 2 3 2 2 2 4 4" xfId="11148" xr:uid="{BCC15048-A6F4-4BDC-992E-1DDAF8F2F57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2 2 2" xfId="17923" xr:uid="{C2A0EC15-B3D0-477C-9AF4-3D58C43846E0}"/>
    <cellStyle name="Normal 5 2 3 2 2 2 5 2 3" xfId="13706" xr:uid="{95E377AD-B5B7-428C-B997-2A387E36E8B0}"/>
    <cellStyle name="Normal 5 2 3 2 2 2 5 3" xfId="6452" xr:uid="{00000000-0005-0000-0000-000046180000}"/>
    <cellStyle name="Normal 5 2 3 2 2 2 5 3 2" xfId="15778" xr:uid="{E5D3C55B-3137-4C2E-A0F1-9E43032EA449}"/>
    <cellStyle name="Normal 5 2 3 2 2 2 5 4" xfId="11561" xr:uid="{94DB9B44-EFD1-475B-9E00-6D563BEC4FB8}"/>
    <cellStyle name="Normal 5 2 3 2 2 2 6" xfId="2582" xr:uid="{00000000-0005-0000-0000-000047180000}"/>
    <cellStyle name="Normal 5 2 3 2 2 2 6 2" xfId="6865" xr:uid="{00000000-0005-0000-0000-000048180000}"/>
    <cellStyle name="Normal 5 2 3 2 2 2 6 2 2" xfId="16191" xr:uid="{A984F74C-7D29-4054-864A-0831A726EF22}"/>
    <cellStyle name="Normal 5 2 3 2 2 2 6 3" xfId="11974" xr:uid="{E080FF0F-1367-413F-95EA-470298DF1E9D}"/>
    <cellStyle name="Normal 5 2 3 2 2 2 7" xfId="4800" xr:uid="{00000000-0005-0000-0000-000049180000}"/>
    <cellStyle name="Normal 5 2 3 2 2 2 7 2" xfId="14126" xr:uid="{A297DAE3-EC0E-437D-8D65-58692F06D9A1}"/>
    <cellStyle name="Normal 5 2 3 2 2 2 8" xfId="9140" xr:uid="{175A16DB-BA54-4083-AB68-1FA46DB27A86}"/>
    <cellStyle name="Normal 5 2 3 2 2 2 8 2" xfId="18464" xr:uid="{44C41EE0-25CF-4D05-9105-17BFAAB6B4F6}"/>
    <cellStyle name="Normal 5 2 3 2 2 2 9" xfId="9909" xr:uid="{3CF61808-B2F7-415A-8CF4-D6D2FEEBDA57}"/>
    <cellStyle name="Normal 5 2 3 2 2 3" xfId="900" xr:uid="{00000000-0005-0000-0000-00004A180000}"/>
    <cellStyle name="Normal 5 2 3 2 2 3 2" xfId="3135" xr:uid="{00000000-0005-0000-0000-00004B180000}"/>
    <cellStyle name="Normal 5 2 3 2 2 3 2 2" xfId="7357" xr:uid="{00000000-0005-0000-0000-00004C180000}"/>
    <cellStyle name="Normal 5 2 3 2 2 3 2 2 2" xfId="16683" xr:uid="{0C7BDC43-CB2D-4CF2-ADCD-CAF201C8C3E5}"/>
    <cellStyle name="Normal 5 2 3 2 2 3 2 3" xfId="12466" xr:uid="{CACB345C-66BD-4E3C-95B1-A126F0C671DB}"/>
    <cellStyle name="Normal 5 2 3 2 2 3 3" xfId="5212" xr:uid="{00000000-0005-0000-0000-00004D180000}"/>
    <cellStyle name="Normal 5 2 3 2 2 3 3 2" xfId="14538" xr:uid="{997E26C3-EEDD-4DEB-B532-EA0134FC9863}"/>
    <cellStyle name="Normal 5 2 3 2 2 3 4" xfId="9358" xr:uid="{5B196E7D-8DD9-4C59-A83C-7626B0E60040}"/>
    <cellStyle name="Normal 5 2 3 2 2 3 4 2" xfId="18673" xr:uid="{8B8A520C-ADA4-4619-841D-8EF8D74995F2}"/>
    <cellStyle name="Normal 5 2 3 2 2 3 5" xfId="10321" xr:uid="{3785F46C-4B19-43E1-8F25-B0F845AA25E9}"/>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2 2 2" xfId="17096" xr:uid="{E1353A19-9CF2-49F2-A8A8-3F374AED17C9}"/>
    <cellStyle name="Normal 5 2 3 2 2 4 2 3" xfId="12879" xr:uid="{D77C00FC-6448-4B4E-8EC1-4218C852C9E7}"/>
    <cellStyle name="Normal 5 2 3 2 2 4 3" xfId="5625" xr:uid="{00000000-0005-0000-0000-000051180000}"/>
    <cellStyle name="Normal 5 2 3 2 2 4 3 2" xfId="14951" xr:uid="{BC0B67B0-4C2D-419A-ADB7-2D9F1249174B}"/>
    <cellStyle name="Normal 5 2 3 2 2 4 4" xfId="10734" xr:uid="{8A3C2284-8846-4D02-B274-8AB8C1B9EDC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2 2 2" xfId="17509" xr:uid="{B6135A90-F49C-4164-B6E2-C026B520EAB0}"/>
    <cellStyle name="Normal 5 2 3 2 2 5 2 3" xfId="13292" xr:uid="{6DEAE29C-715F-464D-BED1-7BD5723AC88D}"/>
    <cellStyle name="Normal 5 2 3 2 2 5 3" xfId="6038" xr:uid="{00000000-0005-0000-0000-000055180000}"/>
    <cellStyle name="Normal 5 2 3 2 2 5 3 2" xfId="15364" xr:uid="{C6B7D039-E7FB-4476-9A71-8602E3565A4F}"/>
    <cellStyle name="Normal 5 2 3 2 2 5 4" xfId="11147" xr:uid="{42875DA6-17FE-41D4-91DD-9F5C33604282}"/>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2 2 2" xfId="17922" xr:uid="{B30E068F-BF22-4743-8CB9-84B2BB48F96C}"/>
    <cellStyle name="Normal 5 2 3 2 2 6 2 3" xfId="13705" xr:uid="{79C86EAB-3224-403F-BCDF-B2229D18FF93}"/>
    <cellStyle name="Normal 5 2 3 2 2 6 3" xfId="6451" xr:uid="{00000000-0005-0000-0000-000059180000}"/>
    <cellStyle name="Normal 5 2 3 2 2 6 3 2" xfId="15777" xr:uid="{27868A30-EA70-4A50-94E8-4ACAB03BFFE7}"/>
    <cellStyle name="Normal 5 2 3 2 2 6 4" xfId="11560" xr:uid="{34306522-7C56-42D0-89FF-BCB489139F9B}"/>
    <cellStyle name="Normal 5 2 3 2 2 7" xfId="2581" xr:uid="{00000000-0005-0000-0000-00005A180000}"/>
    <cellStyle name="Normal 5 2 3 2 2 7 2" xfId="6864" xr:uid="{00000000-0005-0000-0000-00005B180000}"/>
    <cellStyle name="Normal 5 2 3 2 2 7 2 2" xfId="16190" xr:uid="{DAC1AA81-3C82-48CC-8517-AC7CBFFD6F79}"/>
    <cellStyle name="Normal 5 2 3 2 2 7 3" xfId="11973" xr:uid="{8469814A-47D0-46C5-922C-44FF132963BB}"/>
    <cellStyle name="Normal 5 2 3 2 2 8" xfId="4799" xr:uid="{00000000-0005-0000-0000-00005C180000}"/>
    <cellStyle name="Normal 5 2 3 2 2 8 2" xfId="14125" xr:uid="{AFA2BF7D-C2B3-4D9A-964F-D997959977F7}"/>
    <cellStyle name="Normal 5 2 3 2 2 9" xfId="8933" xr:uid="{2228AC18-CB51-4AF4-A227-403A8409C6C2}"/>
    <cellStyle name="Normal 5 2 3 2 2 9 2" xfId="18257" xr:uid="{995F6FD3-E3FF-42F7-8657-C72EF0A2F8BF}"/>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2 2 2" xfId="16685" xr:uid="{EF72319E-A629-467D-AE85-F4E15D4F7379}"/>
    <cellStyle name="Normal 5 2 3 2 3 2 2 3" xfId="12468" xr:uid="{190D8A9A-3204-4010-8285-02D01B54CB07}"/>
    <cellStyle name="Normal 5 2 3 2 3 2 3" xfId="5214" xr:uid="{00000000-0005-0000-0000-000061180000}"/>
    <cellStyle name="Normal 5 2 3 2 3 2 3 2" xfId="14540" xr:uid="{29E63651-201C-49F1-9664-579EB8C5E032}"/>
    <cellStyle name="Normal 5 2 3 2 3 2 4" xfId="9462" xr:uid="{B4C14F1A-A88A-428F-A7F8-BAFD7E5CD045}"/>
    <cellStyle name="Normal 5 2 3 2 3 2 4 2" xfId="18777" xr:uid="{EFA57B70-211A-4C54-B371-52FFFBA8338B}"/>
    <cellStyle name="Normal 5 2 3 2 3 2 5" xfId="10323" xr:uid="{5F7B88E4-9F88-4C30-964D-2993616A5E51}"/>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2 2 2" xfId="17098" xr:uid="{871C1C44-9802-47E3-8C5F-29B08C32627F}"/>
    <cellStyle name="Normal 5 2 3 2 3 3 2 3" xfId="12881" xr:uid="{43ABD027-F7ED-460A-BA79-AE79E3E3C51E}"/>
    <cellStyle name="Normal 5 2 3 2 3 3 3" xfId="5627" xr:uid="{00000000-0005-0000-0000-000065180000}"/>
    <cellStyle name="Normal 5 2 3 2 3 3 3 2" xfId="14953" xr:uid="{05B16025-E565-4A70-9B36-A6DDF972B543}"/>
    <cellStyle name="Normal 5 2 3 2 3 3 4" xfId="10736" xr:uid="{6C3FBBE2-DF85-4E6C-8872-DE20F112649D}"/>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2 2 2" xfId="17511" xr:uid="{F67BE5A4-85E8-42F7-9169-FA55D027ACF4}"/>
    <cellStyle name="Normal 5 2 3 2 3 4 2 3" xfId="13294" xr:uid="{CEC3294D-C475-4FE5-9BEC-9ED3AD482912}"/>
    <cellStyle name="Normal 5 2 3 2 3 4 3" xfId="6040" xr:uid="{00000000-0005-0000-0000-000069180000}"/>
    <cellStyle name="Normal 5 2 3 2 3 4 3 2" xfId="15366" xr:uid="{FB5402E4-06E3-47D8-9476-778F0F551FCD}"/>
    <cellStyle name="Normal 5 2 3 2 3 4 4" xfId="11149" xr:uid="{9046FC04-82A6-4D62-92C5-D02E68A737BD}"/>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2 2 2" xfId="17924" xr:uid="{F88AA420-FDD6-44BC-921E-874994A4856D}"/>
    <cellStyle name="Normal 5 2 3 2 3 5 2 3" xfId="13707" xr:uid="{8CE1D26E-7152-4A9F-BCF8-E7F3AEE6F9B0}"/>
    <cellStyle name="Normal 5 2 3 2 3 5 3" xfId="6453" xr:uid="{00000000-0005-0000-0000-00006D180000}"/>
    <cellStyle name="Normal 5 2 3 2 3 5 3 2" xfId="15779" xr:uid="{8F02BC0E-31B1-4082-AC4B-4BE44CC48605}"/>
    <cellStyle name="Normal 5 2 3 2 3 5 4" xfId="11562" xr:uid="{639AFDCC-2AAE-442D-8800-A6F9CF6BF2D7}"/>
    <cellStyle name="Normal 5 2 3 2 3 6" xfId="2583" xr:uid="{00000000-0005-0000-0000-00006E180000}"/>
    <cellStyle name="Normal 5 2 3 2 3 6 2" xfId="6866" xr:uid="{00000000-0005-0000-0000-00006F180000}"/>
    <cellStyle name="Normal 5 2 3 2 3 6 2 2" xfId="16192" xr:uid="{75BDDA34-537F-4B56-A0B7-CF11F75D11BD}"/>
    <cellStyle name="Normal 5 2 3 2 3 6 3" xfId="11975" xr:uid="{4903A8DE-53DA-4122-B8F6-51CE435CB4EE}"/>
    <cellStyle name="Normal 5 2 3 2 3 7" xfId="4801" xr:uid="{00000000-0005-0000-0000-000070180000}"/>
    <cellStyle name="Normal 5 2 3 2 3 7 2" xfId="14127" xr:uid="{DB686B65-6EB8-48D5-B9BB-5E248B26DE75}"/>
    <cellStyle name="Normal 5 2 3 2 3 8" xfId="9037" xr:uid="{EED46D7F-EFCD-4AC1-931D-AB06B694E7BE}"/>
    <cellStyle name="Normal 5 2 3 2 3 8 2" xfId="18361" xr:uid="{7E906011-B8CE-4708-B720-900B17BBE8FB}"/>
    <cellStyle name="Normal 5 2 3 2 3 9" xfId="9910" xr:uid="{6D221656-2B6B-4FC4-AE6F-C4CBA49C8B4F}"/>
    <cellStyle name="Normal 5 2 3 2 4" xfId="899" xr:uid="{00000000-0005-0000-0000-000071180000}"/>
    <cellStyle name="Normal 5 2 3 2 4 2" xfId="3134" xr:uid="{00000000-0005-0000-0000-000072180000}"/>
    <cellStyle name="Normal 5 2 3 2 4 2 2" xfId="7356" xr:uid="{00000000-0005-0000-0000-000073180000}"/>
    <cellStyle name="Normal 5 2 3 2 4 2 2 2" xfId="16682" xr:uid="{05FF38BF-973B-4481-B5FE-BB867B758689}"/>
    <cellStyle name="Normal 5 2 3 2 4 2 3" xfId="12465" xr:uid="{32592C50-26F3-4B6F-91CB-BF929214920A}"/>
    <cellStyle name="Normal 5 2 3 2 4 3" xfId="5211" xr:uid="{00000000-0005-0000-0000-000074180000}"/>
    <cellStyle name="Normal 5 2 3 2 4 3 2" xfId="14537" xr:uid="{B53F5635-7012-4294-9A71-4E6FE022FB18}"/>
    <cellStyle name="Normal 5 2 3 2 4 4" xfId="9255" xr:uid="{C5A161BB-6C4F-4A9D-BBA7-7500B0B26A70}"/>
    <cellStyle name="Normal 5 2 3 2 4 4 2" xfId="18570" xr:uid="{B02412E2-CB61-4944-AB91-F560FA026BFE}"/>
    <cellStyle name="Normal 5 2 3 2 4 5" xfId="10320" xr:uid="{4ADD4975-436E-4985-9A1C-3A50CC085F40}"/>
    <cellStyle name="Normal 5 2 3 2 5" xfId="1317" xr:uid="{00000000-0005-0000-0000-000075180000}"/>
    <cellStyle name="Normal 5 2 3 2 5 2" xfId="3547" xr:uid="{00000000-0005-0000-0000-000076180000}"/>
    <cellStyle name="Normal 5 2 3 2 5 2 2" xfId="7769" xr:uid="{00000000-0005-0000-0000-000077180000}"/>
    <cellStyle name="Normal 5 2 3 2 5 2 2 2" xfId="17095" xr:uid="{27BB73AE-793D-419D-B103-66FCB9C07549}"/>
    <cellStyle name="Normal 5 2 3 2 5 2 3" xfId="12878" xr:uid="{F8B02D0B-7767-41A4-9C30-91D33170C19D}"/>
    <cellStyle name="Normal 5 2 3 2 5 3" xfId="5624" xr:uid="{00000000-0005-0000-0000-000078180000}"/>
    <cellStyle name="Normal 5 2 3 2 5 3 2" xfId="14950" xr:uid="{DE49DC0A-3785-4DE5-9CD2-5F8BFAEF71AB}"/>
    <cellStyle name="Normal 5 2 3 2 5 4" xfId="10733" xr:uid="{3F3E4857-224D-43C2-A1BE-7D55F9CF60C0}"/>
    <cellStyle name="Normal 5 2 3 2 6" xfId="1730" xr:uid="{00000000-0005-0000-0000-000079180000}"/>
    <cellStyle name="Normal 5 2 3 2 6 2" xfId="3960" xr:uid="{00000000-0005-0000-0000-00007A180000}"/>
    <cellStyle name="Normal 5 2 3 2 6 2 2" xfId="8182" xr:uid="{00000000-0005-0000-0000-00007B180000}"/>
    <cellStyle name="Normal 5 2 3 2 6 2 2 2" xfId="17508" xr:uid="{07038950-CFFA-4787-B2F2-EB59F899F3E0}"/>
    <cellStyle name="Normal 5 2 3 2 6 2 3" xfId="13291" xr:uid="{EA04A81B-EADF-4A5C-9CE7-4131E93ABDDF}"/>
    <cellStyle name="Normal 5 2 3 2 6 3" xfId="6037" xr:uid="{00000000-0005-0000-0000-00007C180000}"/>
    <cellStyle name="Normal 5 2 3 2 6 3 2" xfId="15363" xr:uid="{9FF9F1A2-07DC-4D86-8D70-1E3810F2BBBA}"/>
    <cellStyle name="Normal 5 2 3 2 6 4" xfId="11146" xr:uid="{BE7FBFBE-BFAF-4DCC-B806-744E4F8A2458}"/>
    <cellStyle name="Normal 5 2 3 2 7" xfId="2144" xr:uid="{00000000-0005-0000-0000-00007D180000}"/>
    <cellStyle name="Normal 5 2 3 2 7 2" xfId="4373" xr:uid="{00000000-0005-0000-0000-00007E180000}"/>
    <cellStyle name="Normal 5 2 3 2 7 2 2" xfId="8595" xr:uid="{00000000-0005-0000-0000-00007F180000}"/>
    <cellStyle name="Normal 5 2 3 2 7 2 2 2" xfId="17921" xr:uid="{5B4D299C-C357-4FF3-881C-491CE26296BA}"/>
    <cellStyle name="Normal 5 2 3 2 7 2 3" xfId="13704" xr:uid="{FD77DE24-7913-4136-BD42-0A8F53508D06}"/>
    <cellStyle name="Normal 5 2 3 2 7 3" xfId="6450" xr:uid="{00000000-0005-0000-0000-000080180000}"/>
    <cellStyle name="Normal 5 2 3 2 7 3 2" xfId="15776" xr:uid="{5FD4BC23-CE3B-42C0-A91A-8DFA1CC89B2A}"/>
    <cellStyle name="Normal 5 2 3 2 7 4" xfId="11559" xr:uid="{3E00F920-4151-4549-BE67-E7CA6411F418}"/>
    <cellStyle name="Normal 5 2 3 2 8" xfId="2580" xr:uid="{00000000-0005-0000-0000-000081180000}"/>
    <cellStyle name="Normal 5 2 3 2 8 2" xfId="6863" xr:uid="{00000000-0005-0000-0000-000082180000}"/>
    <cellStyle name="Normal 5 2 3 2 8 2 2" xfId="16189" xr:uid="{DD8FC8CE-EB49-479B-93AA-193FCC7740CD}"/>
    <cellStyle name="Normal 5 2 3 2 8 3" xfId="11972" xr:uid="{6D288415-874B-4E99-98D5-C0719093B9BA}"/>
    <cellStyle name="Normal 5 2 3 2 9" xfId="4798" xr:uid="{00000000-0005-0000-0000-000083180000}"/>
    <cellStyle name="Normal 5 2 3 2 9 2" xfId="14124" xr:uid="{155F2905-36D7-4EEF-A514-DBD87760E222}"/>
    <cellStyle name="Normal 5 2 3 3" xfId="429" xr:uid="{00000000-0005-0000-0000-000084180000}"/>
    <cellStyle name="Normal 5 2 3 3 10" xfId="9911" xr:uid="{521AAA0D-418F-486C-91DE-7678C821ACD6}"/>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2 2 2" xfId="16687" xr:uid="{6D63FB52-35E7-4549-AE19-F89730290CBE}"/>
    <cellStyle name="Normal 5 2 3 3 2 2 2 3" xfId="12470" xr:uid="{DF0A52C7-C475-423E-9C01-6B0990E65C9B}"/>
    <cellStyle name="Normal 5 2 3 3 2 2 3" xfId="5216" xr:uid="{00000000-0005-0000-0000-000089180000}"/>
    <cellStyle name="Normal 5 2 3 3 2 2 3 2" xfId="14542" xr:uid="{0ABF88FD-6F18-4A30-8C85-1D8E63265638}"/>
    <cellStyle name="Normal 5 2 3 3 2 2 4" xfId="9511" xr:uid="{75EF02F8-0397-4B30-A858-343ADCA7C08D}"/>
    <cellStyle name="Normal 5 2 3 3 2 2 4 2" xfId="18826" xr:uid="{59BEBB73-4EBB-42C1-B208-6B2F6A159DFF}"/>
    <cellStyle name="Normal 5 2 3 3 2 2 5" xfId="10325" xr:uid="{F6313B30-1C9F-44CF-B026-7C34545E598A}"/>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2 2 2" xfId="17100" xr:uid="{9C22C88A-3CBB-4086-B874-7A1449888DF2}"/>
    <cellStyle name="Normal 5 2 3 3 2 3 2 3" xfId="12883" xr:uid="{343E93D1-3AF1-42B0-93F8-2FE84FD6E849}"/>
    <cellStyle name="Normal 5 2 3 3 2 3 3" xfId="5629" xr:uid="{00000000-0005-0000-0000-00008D180000}"/>
    <cellStyle name="Normal 5 2 3 3 2 3 3 2" xfId="14955" xr:uid="{5C16FB13-00FA-4029-9FBF-34B5E3D3B646}"/>
    <cellStyle name="Normal 5 2 3 3 2 3 4" xfId="10738" xr:uid="{13D21AF5-27D9-4C5B-96D4-4536AF083101}"/>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2 2 2" xfId="17513" xr:uid="{47D54C2E-6FF9-411E-AC71-54583A0F5319}"/>
    <cellStyle name="Normal 5 2 3 3 2 4 2 3" xfId="13296" xr:uid="{15AC71FD-FC32-4401-9544-62AFA9988463}"/>
    <cellStyle name="Normal 5 2 3 3 2 4 3" xfId="6042" xr:uid="{00000000-0005-0000-0000-000091180000}"/>
    <cellStyle name="Normal 5 2 3 3 2 4 3 2" xfId="15368" xr:uid="{FF7FA3AC-5975-4832-B843-9579942EF977}"/>
    <cellStyle name="Normal 5 2 3 3 2 4 4" xfId="11151" xr:uid="{C369FEA2-58E1-4FB8-86CB-177466E720BE}"/>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2 2 2" xfId="17926" xr:uid="{4C2D42AC-6047-4A95-B9C8-52BB23AAFFA2}"/>
    <cellStyle name="Normal 5 2 3 3 2 5 2 3" xfId="13709" xr:uid="{CDD8C18A-48FD-492D-81E1-AC9A34A1F875}"/>
    <cellStyle name="Normal 5 2 3 3 2 5 3" xfId="6455" xr:uid="{00000000-0005-0000-0000-000095180000}"/>
    <cellStyle name="Normal 5 2 3 3 2 5 3 2" xfId="15781" xr:uid="{4A072EAC-3B6E-4ACF-9906-01C3A9E01096}"/>
    <cellStyle name="Normal 5 2 3 3 2 5 4" xfId="11564" xr:uid="{6ABCFC6A-2BBB-4478-BBF2-25BF248EFFC6}"/>
    <cellStyle name="Normal 5 2 3 3 2 6" xfId="2585" xr:uid="{00000000-0005-0000-0000-000096180000}"/>
    <cellStyle name="Normal 5 2 3 3 2 6 2" xfId="6868" xr:uid="{00000000-0005-0000-0000-000097180000}"/>
    <cellStyle name="Normal 5 2 3 3 2 6 2 2" xfId="16194" xr:uid="{8321175A-F49F-4E14-94F1-77842458AC5A}"/>
    <cellStyle name="Normal 5 2 3 3 2 6 3" xfId="11977" xr:uid="{8ACDCD0F-D24E-46C2-B8E3-76B8F58A8EBE}"/>
    <cellStyle name="Normal 5 2 3 3 2 7" xfId="4803" xr:uid="{00000000-0005-0000-0000-000098180000}"/>
    <cellStyle name="Normal 5 2 3 3 2 7 2" xfId="14129" xr:uid="{25CD2DC5-2AE1-432B-9E61-114724DCCE9C}"/>
    <cellStyle name="Normal 5 2 3 3 2 8" xfId="9086" xr:uid="{442E5F61-F00C-4774-822F-4985AB3E1CB7}"/>
    <cellStyle name="Normal 5 2 3 3 2 8 2" xfId="18410" xr:uid="{9806841D-BF53-402D-97FC-C008465E2CEE}"/>
    <cellStyle name="Normal 5 2 3 3 2 9" xfId="9912" xr:uid="{9DE4A6B2-0FA3-4B06-8234-A66AC0C415E5}"/>
    <cellStyle name="Normal 5 2 3 3 3" xfId="903" xr:uid="{00000000-0005-0000-0000-000099180000}"/>
    <cellStyle name="Normal 5 2 3 3 3 2" xfId="3138" xr:uid="{00000000-0005-0000-0000-00009A180000}"/>
    <cellStyle name="Normal 5 2 3 3 3 2 2" xfId="7360" xr:uid="{00000000-0005-0000-0000-00009B180000}"/>
    <cellStyle name="Normal 5 2 3 3 3 2 2 2" xfId="16686" xr:uid="{193785A0-A666-4465-BFE7-25B81CB98A64}"/>
    <cellStyle name="Normal 5 2 3 3 3 2 3" xfId="12469" xr:uid="{8F856886-B3C1-404D-B8AC-7DC5399F654A}"/>
    <cellStyle name="Normal 5 2 3 3 3 3" xfId="5215" xr:uid="{00000000-0005-0000-0000-00009C180000}"/>
    <cellStyle name="Normal 5 2 3 3 3 3 2" xfId="14541" xr:uid="{3C061617-2F48-457C-A45F-5AD2D1C2C4C9}"/>
    <cellStyle name="Normal 5 2 3 3 3 4" xfId="9304" xr:uid="{2C783A77-F32A-4E64-807E-062B95DB0310}"/>
    <cellStyle name="Normal 5 2 3 3 3 4 2" xfId="18619" xr:uid="{50D59E23-FAFB-45C6-A7E8-D85F6497F837}"/>
    <cellStyle name="Normal 5 2 3 3 3 5" xfId="10324" xr:uid="{81C9753E-0F38-422E-818A-5E66D7823A9F}"/>
    <cellStyle name="Normal 5 2 3 3 4" xfId="1321" xr:uid="{00000000-0005-0000-0000-00009D180000}"/>
    <cellStyle name="Normal 5 2 3 3 4 2" xfId="3551" xr:uid="{00000000-0005-0000-0000-00009E180000}"/>
    <cellStyle name="Normal 5 2 3 3 4 2 2" xfId="7773" xr:uid="{00000000-0005-0000-0000-00009F180000}"/>
    <cellStyle name="Normal 5 2 3 3 4 2 2 2" xfId="17099" xr:uid="{0527B899-17C5-408C-8B3E-54D273EB6995}"/>
    <cellStyle name="Normal 5 2 3 3 4 2 3" xfId="12882" xr:uid="{7193ED3B-0C63-4777-8AC4-77A42244F166}"/>
    <cellStyle name="Normal 5 2 3 3 4 3" xfId="5628" xr:uid="{00000000-0005-0000-0000-0000A0180000}"/>
    <cellStyle name="Normal 5 2 3 3 4 3 2" xfId="14954" xr:uid="{F201CD78-A91A-4103-AB69-EE6E6E54CBC3}"/>
    <cellStyle name="Normal 5 2 3 3 4 4" xfId="10737" xr:uid="{53B9B4D5-CAE8-43C4-BEEA-59B301A39648}"/>
    <cellStyle name="Normal 5 2 3 3 5" xfId="1734" xr:uid="{00000000-0005-0000-0000-0000A1180000}"/>
    <cellStyle name="Normal 5 2 3 3 5 2" xfId="3964" xr:uid="{00000000-0005-0000-0000-0000A2180000}"/>
    <cellStyle name="Normal 5 2 3 3 5 2 2" xfId="8186" xr:uid="{00000000-0005-0000-0000-0000A3180000}"/>
    <cellStyle name="Normal 5 2 3 3 5 2 2 2" xfId="17512" xr:uid="{068309DA-0EFC-4572-80DF-4C28D0F94C26}"/>
    <cellStyle name="Normal 5 2 3 3 5 2 3" xfId="13295" xr:uid="{7C2A6148-C375-4E2E-A972-9AE1D6270DDC}"/>
    <cellStyle name="Normal 5 2 3 3 5 3" xfId="6041" xr:uid="{00000000-0005-0000-0000-0000A4180000}"/>
    <cellStyle name="Normal 5 2 3 3 5 3 2" xfId="15367" xr:uid="{CD37C14D-4595-4D66-8B84-4E137BCFF565}"/>
    <cellStyle name="Normal 5 2 3 3 5 4" xfId="11150" xr:uid="{FE65CECE-5408-4477-A259-F7F091E3268C}"/>
    <cellStyle name="Normal 5 2 3 3 6" xfId="2148" xr:uid="{00000000-0005-0000-0000-0000A5180000}"/>
    <cellStyle name="Normal 5 2 3 3 6 2" xfId="4377" xr:uid="{00000000-0005-0000-0000-0000A6180000}"/>
    <cellStyle name="Normal 5 2 3 3 6 2 2" xfId="8599" xr:uid="{00000000-0005-0000-0000-0000A7180000}"/>
    <cellStyle name="Normal 5 2 3 3 6 2 2 2" xfId="17925" xr:uid="{7CCDC466-14C4-482E-9E34-1DAB816BC054}"/>
    <cellStyle name="Normal 5 2 3 3 6 2 3" xfId="13708" xr:uid="{3B639D76-9505-4EC3-9C84-4C16FC0A93A1}"/>
    <cellStyle name="Normal 5 2 3 3 6 3" xfId="6454" xr:uid="{00000000-0005-0000-0000-0000A8180000}"/>
    <cellStyle name="Normal 5 2 3 3 6 3 2" xfId="15780" xr:uid="{39C6674C-B065-4A58-B31C-C6677A1B8829}"/>
    <cellStyle name="Normal 5 2 3 3 6 4" xfId="11563" xr:uid="{BC59E020-9714-4C18-9A2C-271D9D9FDA43}"/>
    <cellStyle name="Normal 5 2 3 3 7" xfId="2584" xr:uid="{00000000-0005-0000-0000-0000A9180000}"/>
    <cellStyle name="Normal 5 2 3 3 7 2" xfId="6867" xr:uid="{00000000-0005-0000-0000-0000AA180000}"/>
    <cellStyle name="Normal 5 2 3 3 7 2 2" xfId="16193" xr:uid="{85E4DB74-9A87-4A87-B3DC-FD3C570B87E1}"/>
    <cellStyle name="Normal 5 2 3 3 7 3" xfId="11976" xr:uid="{4193F0A1-5252-4600-825B-122581E57918}"/>
    <cellStyle name="Normal 5 2 3 3 8" xfId="4802" xr:uid="{00000000-0005-0000-0000-0000AB180000}"/>
    <cellStyle name="Normal 5 2 3 3 8 2" xfId="14128" xr:uid="{1AFD669D-6DA1-4EDE-BC3C-A6645A8D17E7}"/>
    <cellStyle name="Normal 5 2 3 3 9" xfId="8879" xr:uid="{F521005C-E3E0-4B64-9C0A-0C510FB9AAB2}"/>
    <cellStyle name="Normal 5 2 3 3 9 2" xfId="18203" xr:uid="{206886BB-0499-4094-9457-174AC248B503}"/>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2 2 2" xfId="16688" xr:uid="{31291B31-81CD-4D19-9E35-427D71F3E63A}"/>
    <cellStyle name="Normal 5 2 3 4 2 2 3" xfId="12471" xr:uid="{BEA7BEB1-950F-4E8E-89FD-E3D44F081ACC}"/>
    <cellStyle name="Normal 5 2 3 4 2 3" xfId="5217" xr:uid="{00000000-0005-0000-0000-0000B0180000}"/>
    <cellStyle name="Normal 5 2 3 4 2 3 2" xfId="14543" xr:uid="{CBF20CC4-7BFC-4299-8FD0-80ADF6B0E49C}"/>
    <cellStyle name="Normal 5 2 3 4 2 4" xfId="9408" xr:uid="{3B6F9C6F-3D7C-45F8-99FE-451C0F8CED36}"/>
    <cellStyle name="Normal 5 2 3 4 2 4 2" xfId="18723" xr:uid="{D9585CE5-3889-48A7-987F-B16AC5D810A8}"/>
    <cellStyle name="Normal 5 2 3 4 2 5" xfId="10326" xr:uid="{8DD63F60-9619-4A9A-BAD8-FF3B6AC26874}"/>
    <cellStyle name="Normal 5 2 3 4 3" xfId="1323" xr:uid="{00000000-0005-0000-0000-0000B1180000}"/>
    <cellStyle name="Normal 5 2 3 4 3 2" xfId="3553" xr:uid="{00000000-0005-0000-0000-0000B2180000}"/>
    <cellStyle name="Normal 5 2 3 4 3 2 2" xfId="7775" xr:uid="{00000000-0005-0000-0000-0000B3180000}"/>
    <cellStyle name="Normal 5 2 3 4 3 2 2 2" xfId="17101" xr:uid="{72F20DA3-4D85-41D4-A267-151029A6B27F}"/>
    <cellStyle name="Normal 5 2 3 4 3 2 3" xfId="12884" xr:uid="{C92A38F4-89A4-4182-93A1-0652F8142BE4}"/>
    <cellStyle name="Normal 5 2 3 4 3 3" xfId="5630" xr:uid="{00000000-0005-0000-0000-0000B4180000}"/>
    <cellStyle name="Normal 5 2 3 4 3 3 2" xfId="14956" xr:uid="{A816D298-563B-43A8-91F0-29E1EDC31772}"/>
    <cellStyle name="Normal 5 2 3 4 3 4" xfId="10739" xr:uid="{B133A0AD-5697-4A1F-89E0-387224A811B9}"/>
    <cellStyle name="Normal 5 2 3 4 4" xfId="1736" xr:uid="{00000000-0005-0000-0000-0000B5180000}"/>
    <cellStyle name="Normal 5 2 3 4 4 2" xfId="3966" xr:uid="{00000000-0005-0000-0000-0000B6180000}"/>
    <cellStyle name="Normal 5 2 3 4 4 2 2" xfId="8188" xr:uid="{00000000-0005-0000-0000-0000B7180000}"/>
    <cellStyle name="Normal 5 2 3 4 4 2 2 2" xfId="17514" xr:uid="{C9A1DE1C-A0AC-403D-8582-2A5D0B576DE6}"/>
    <cellStyle name="Normal 5 2 3 4 4 2 3" xfId="13297" xr:uid="{F765DCD5-3D77-4E03-BFBF-605E3230F493}"/>
    <cellStyle name="Normal 5 2 3 4 4 3" xfId="6043" xr:uid="{00000000-0005-0000-0000-0000B8180000}"/>
    <cellStyle name="Normal 5 2 3 4 4 3 2" xfId="15369" xr:uid="{8B26BE3E-836C-4A86-85FC-F6E3BE349012}"/>
    <cellStyle name="Normal 5 2 3 4 4 4" xfId="11152" xr:uid="{38C1E493-0930-48DF-B6ED-76F1A6BDB27E}"/>
    <cellStyle name="Normal 5 2 3 4 5" xfId="2150" xr:uid="{00000000-0005-0000-0000-0000B9180000}"/>
    <cellStyle name="Normal 5 2 3 4 5 2" xfId="4379" xr:uid="{00000000-0005-0000-0000-0000BA180000}"/>
    <cellStyle name="Normal 5 2 3 4 5 2 2" xfId="8601" xr:uid="{00000000-0005-0000-0000-0000BB180000}"/>
    <cellStyle name="Normal 5 2 3 4 5 2 2 2" xfId="17927" xr:uid="{F719A12C-74DF-422C-AC47-1AA10B34962E}"/>
    <cellStyle name="Normal 5 2 3 4 5 2 3" xfId="13710" xr:uid="{2BB0D874-64DD-4CEB-8BFD-F30F1871F510}"/>
    <cellStyle name="Normal 5 2 3 4 5 3" xfId="6456" xr:uid="{00000000-0005-0000-0000-0000BC180000}"/>
    <cellStyle name="Normal 5 2 3 4 5 3 2" xfId="15782" xr:uid="{7CDFAA79-D097-4591-8400-054217C12774}"/>
    <cellStyle name="Normal 5 2 3 4 5 4" xfId="11565" xr:uid="{08ACDDC3-C094-43D6-8437-493386458739}"/>
    <cellStyle name="Normal 5 2 3 4 6" xfId="2586" xr:uid="{00000000-0005-0000-0000-0000BD180000}"/>
    <cellStyle name="Normal 5 2 3 4 6 2" xfId="6869" xr:uid="{00000000-0005-0000-0000-0000BE180000}"/>
    <cellStyle name="Normal 5 2 3 4 6 2 2" xfId="16195" xr:uid="{83642A61-C749-47DD-840C-013122FC65C5}"/>
    <cellStyle name="Normal 5 2 3 4 6 3" xfId="11978" xr:uid="{FD8A7A44-F7E5-4328-889A-AFA0D2711900}"/>
    <cellStyle name="Normal 5 2 3 4 7" xfId="4804" xr:uid="{00000000-0005-0000-0000-0000BF180000}"/>
    <cellStyle name="Normal 5 2 3 4 7 2" xfId="14130" xr:uid="{FE8D0BDB-EAAB-4EA8-AC66-46313C40E9E7}"/>
    <cellStyle name="Normal 5 2 3 4 8" xfId="8983" xr:uid="{07388FCC-03DE-4CE8-89CB-9C92F8174E24}"/>
    <cellStyle name="Normal 5 2 3 4 8 2" xfId="18307" xr:uid="{FBA526ED-7B63-4289-94ED-276CE031AE4A}"/>
    <cellStyle name="Normal 5 2 3 4 9" xfId="9913" xr:uid="{72F5895D-A12C-46A2-B179-70255B1C6005}"/>
    <cellStyle name="Normal 5 2 3 5" xfId="898" xr:uid="{00000000-0005-0000-0000-0000C0180000}"/>
    <cellStyle name="Normal 5 2 3 5 2" xfId="3133" xr:uid="{00000000-0005-0000-0000-0000C1180000}"/>
    <cellStyle name="Normal 5 2 3 5 2 2" xfId="7355" xr:uid="{00000000-0005-0000-0000-0000C2180000}"/>
    <cellStyle name="Normal 5 2 3 5 2 2 2" xfId="16681" xr:uid="{4577E988-53E1-46D4-8248-40387094221B}"/>
    <cellStyle name="Normal 5 2 3 5 2 3" xfId="12464" xr:uid="{4B673BF6-D74C-401A-8DE3-DE5EDAB9A3D4}"/>
    <cellStyle name="Normal 5 2 3 5 3" xfId="5210" xr:uid="{00000000-0005-0000-0000-0000C3180000}"/>
    <cellStyle name="Normal 5 2 3 5 3 2" xfId="14536" xr:uid="{BF21BB9C-0F5E-4D61-8B25-E535C742AD62}"/>
    <cellStyle name="Normal 5 2 3 5 4" xfId="9200" xr:uid="{13DE827A-4007-427A-9869-ADBBE6B70993}"/>
    <cellStyle name="Normal 5 2 3 5 4 2" xfId="18516" xr:uid="{81726369-1812-494C-AA5E-B1ABA9C75664}"/>
    <cellStyle name="Normal 5 2 3 5 5" xfId="10319" xr:uid="{0FAC17BE-6F90-46C9-9145-1D02A64A9EB4}"/>
    <cellStyle name="Normal 5 2 3 6" xfId="1316" xr:uid="{00000000-0005-0000-0000-0000C4180000}"/>
    <cellStyle name="Normal 5 2 3 6 2" xfId="3546" xr:uid="{00000000-0005-0000-0000-0000C5180000}"/>
    <cellStyle name="Normal 5 2 3 6 2 2" xfId="7768" xr:uid="{00000000-0005-0000-0000-0000C6180000}"/>
    <cellStyle name="Normal 5 2 3 6 2 2 2" xfId="17094" xr:uid="{8F42F14B-62D2-43B0-935F-B0DBEEABD6A4}"/>
    <cellStyle name="Normal 5 2 3 6 2 3" xfId="12877" xr:uid="{AD6F417D-AE07-4E48-AFC3-2FC84B90702C}"/>
    <cellStyle name="Normal 5 2 3 6 3" xfId="5623" xr:uid="{00000000-0005-0000-0000-0000C7180000}"/>
    <cellStyle name="Normal 5 2 3 6 3 2" xfId="14949" xr:uid="{4A472F36-34DB-470E-9EBA-0116E4DBBCB9}"/>
    <cellStyle name="Normal 5 2 3 6 4" xfId="10732" xr:uid="{E83E5A3D-76BC-4729-B894-21B8A20B5ACD}"/>
    <cellStyle name="Normal 5 2 3 7" xfId="1729" xr:uid="{00000000-0005-0000-0000-0000C8180000}"/>
    <cellStyle name="Normal 5 2 3 7 2" xfId="3959" xr:uid="{00000000-0005-0000-0000-0000C9180000}"/>
    <cellStyle name="Normal 5 2 3 7 2 2" xfId="8181" xr:uid="{00000000-0005-0000-0000-0000CA180000}"/>
    <cellStyle name="Normal 5 2 3 7 2 2 2" xfId="17507" xr:uid="{2D38B67F-FDF9-4F0A-AF15-33E9D9705CAF}"/>
    <cellStyle name="Normal 5 2 3 7 2 3" xfId="13290" xr:uid="{634BE05A-5F16-4E42-9EB4-9A88BF88C90C}"/>
    <cellStyle name="Normal 5 2 3 7 3" xfId="6036" xr:uid="{00000000-0005-0000-0000-0000CB180000}"/>
    <cellStyle name="Normal 5 2 3 7 3 2" xfId="15362" xr:uid="{327BF7DF-FB0F-4EEB-B148-9A08BC4D0371}"/>
    <cellStyle name="Normal 5 2 3 7 4" xfId="11145" xr:uid="{13EB0886-B5B9-4E11-BA7A-F8E63401853C}"/>
    <cellStyle name="Normal 5 2 3 8" xfId="2143" xr:uid="{00000000-0005-0000-0000-0000CC180000}"/>
    <cellStyle name="Normal 5 2 3 8 2" xfId="4372" xr:uid="{00000000-0005-0000-0000-0000CD180000}"/>
    <cellStyle name="Normal 5 2 3 8 2 2" xfId="8594" xr:uid="{00000000-0005-0000-0000-0000CE180000}"/>
    <cellStyle name="Normal 5 2 3 8 2 2 2" xfId="17920" xr:uid="{81149456-BC95-4242-8884-EF266AE2DE6D}"/>
    <cellStyle name="Normal 5 2 3 8 2 3" xfId="13703" xr:uid="{35F9BCC9-44AA-4A0A-8E14-3D38337CAB6E}"/>
    <cellStyle name="Normal 5 2 3 8 3" xfId="6449" xr:uid="{00000000-0005-0000-0000-0000CF180000}"/>
    <cellStyle name="Normal 5 2 3 8 3 2" xfId="15775" xr:uid="{B254FED6-CE66-4F43-B726-B040CF8A27DA}"/>
    <cellStyle name="Normal 5 2 3 8 4" xfId="11558" xr:uid="{E89EFEF2-194B-494F-8D78-1E90015764B5}"/>
    <cellStyle name="Normal 5 2 3 9" xfId="2579" xr:uid="{00000000-0005-0000-0000-0000D0180000}"/>
    <cellStyle name="Normal 5 2 3 9 2" xfId="6862" xr:uid="{00000000-0005-0000-0000-0000D1180000}"/>
    <cellStyle name="Normal 5 2 3 9 2 2" xfId="16188" xr:uid="{230FA8DE-33B6-43D9-8C11-E6D10A374CDE}"/>
    <cellStyle name="Normal 5 2 3 9 3" xfId="11971" xr:uid="{6347F117-4248-4111-BFFC-D1D635CFC9FD}"/>
    <cellStyle name="Normal 5 2 4" xfId="432" xr:uid="{00000000-0005-0000-0000-0000D2180000}"/>
    <cellStyle name="Normal 5 2 4 10" xfId="8827" xr:uid="{1EC4F605-F0BA-487E-A3C0-2CBAE7C22D8A}"/>
    <cellStyle name="Normal 5 2 4 10 2" xfId="18151" xr:uid="{20D718F2-D17E-411B-BEB2-690B0E60D8F2}"/>
    <cellStyle name="Normal 5 2 4 11" xfId="9914" xr:uid="{6319CF09-42A2-4F2E-B678-36F2D8C386B9}"/>
    <cellStyle name="Normal 5 2 4 2" xfId="433" xr:uid="{00000000-0005-0000-0000-0000D3180000}"/>
    <cellStyle name="Normal 5 2 4 2 10" xfId="9915" xr:uid="{79F6DCC6-879F-444B-8B3A-4B2561E8F40E}"/>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2 2 2" xfId="16691" xr:uid="{3D68B284-B0FD-46DE-A91E-CE9F116704C9}"/>
    <cellStyle name="Normal 5 2 4 2 2 2 2 3" xfId="12474" xr:uid="{1704B23A-28AD-4364-8F9D-8419B92AF5C7}"/>
    <cellStyle name="Normal 5 2 4 2 2 2 3" xfId="5220" xr:uid="{00000000-0005-0000-0000-0000D8180000}"/>
    <cellStyle name="Normal 5 2 4 2 2 2 3 2" xfId="14546" xr:uid="{8FCB2067-57C8-4F11-987D-17BB00EA6274}"/>
    <cellStyle name="Normal 5 2 4 2 2 2 4" xfId="9562" xr:uid="{5E243FB4-F3B1-4B34-B377-1444454AD19E}"/>
    <cellStyle name="Normal 5 2 4 2 2 2 4 2" xfId="18877" xr:uid="{4273FDC2-358D-46E9-A7A4-3CC34546BB7D}"/>
    <cellStyle name="Normal 5 2 4 2 2 2 5" xfId="10329" xr:uid="{B32DCB39-B90B-4BB5-952E-5B8D58767703}"/>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2 2 2" xfId="17104" xr:uid="{5EAFEC7C-43AD-4B6F-8289-698A43027D28}"/>
    <cellStyle name="Normal 5 2 4 2 2 3 2 3" xfId="12887" xr:uid="{D5CD69C0-63D3-4C1C-862D-950B31FDC6EF}"/>
    <cellStyle name="Normal 5 2 4 2 2 3 3" xfId="5633" xr:uid="{00000000-0005-0000-0000-0000DC180000}"/>
    <cellStyle name="Normal 5 2 4 2 2 3 3 2" xfId="14959" xr:uid="{1317ABD7-4D1D-414A-ABA5-FC9287A7CA35}"/>
    <cellStyle name="Normal 5 2 4 2 2 3 4" xfId="10742" xr:uid="{9E213941-B891-4406-AC69-88D81533CF1D}"/>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2 2 2" xfId="17517" xr:uid="{B80D3C5D-294B-4EEA-870A-879637E20362}"/>
    <cellStyle name="Normal 5 2 4 2 2 4 2 3" xfId="13300" xr:uid="{C4268716-B9DB-4E5C-94B8-24B92FA89542}"/>
    <cellStyle name="Normal 5 2 4 2 2 4 3" xfId="6046" xr:uid="{00000000-0005-0000-0000-0000E0180000}"/>
    <cellStyle name="Normal 5 2 4 2 2 4 3 2" xfId="15372" xr:uid="{9F57BF14-380D-4EAF-A25D-FCFE78DE0985}"/>
    <cellStyle name="Normal 5 2 4 2 2 4 4" xfId="11155" xr:uid="{08D7369E-F633-48D8-900E-358B63F676C5}"/>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2 2 2" xfId="17930" xr:uid="{6E9FDF1D-D4E9-464A-9156-2F5245013CAB}"/>
    <cellStyle name="Normal 5 2 4 2 2 5 2 3" xfId="13713" xr:uid="{6D0A8434-CE02-48A4-8580-20DAEB3C6D3F}"/>
    <cellStyle name="Normal 5 2 4 2 2 5 3" xfId="6459" xr:uid="{00000000-0005-0000-0000-0000E4180000}"/>
    <cellStyle name="Normal 5 2 4 2 2 5 3 2" xfId="15785" xr:uid="{F37B12CD-479E-4666-9826-33862AEEB1EC}"/>
    <cellStyle name="Normal 5 2 4 2 2 5 4" xfId="11568" xr:uid="{484F7E0F-2CC4-4A39-B42C-394E4D540192}"/>
    <cellStyle name="Normal 5 2 4 2 2 6" xfId="2589" xr:uid="{00000000-0005-0000-0000-0000E5180000}"/>
    <cellStyle name="Normal 5 2 4 2 2 6 2" xfId="6872" xr:uid="{00000000-0005-0000-0000-0000E6180000}"/>
    <cellStyle name="Normal 5 2 4 2 2 6 2 2" xfId="16198" xr:uid="{7C4D60A9-D2D8-4A35-9241-C48BF1F90C2C}"/>
    <cellStyle name="Normal 5 2 4 2 2 6 3" xfId="11981" xr:uid="{10A39B28-EB13-4974-BB7C-D1F85B28B963}"/>
    <cellStyle name="Normal 5 2 4 2 2 7" xfId="4807" xr:uid="{00000000-0005-0000-0000-0000E7180000}"/>
    <cellStyle name="Normal 5 2 4 2 2 7 2" xfId="14133" xr:uid="{0F2654E0-9046-45F5-BE5C-908114B292C4}"/>
    <cellStyle name="Normal 5 2 4 2 2 8" xfId="9137" xr:uid="{C80E4B27-40CA-4953-ABB8-99E2C575F775}"/>
    <cellStyle name="Normal 5 2 4 2 2 8 2" xfId="18461" xr:uid="{A4D38A60-C266-4C36-B137-5D97DC18E012}"/>
    <cellStyle name="Normal 5 2 4 2 2 9" xfId="9916" xr:uid="{9704BC89-C607-486D-A643-05784006423C}"/>
    <cellStyle name="Normal 5 2 4 2 3" xfId="907" xr:uid="{00000000-0005-0000-0000-0000E8180000}"/>
    <cellStyle name="Normal 5 2 4 2 3 2" xfId="3142" xr:uid="{00000000-0005-0000-0000-0000E9180000}"/>
    <cellStyle name="Normal 5 2 4 2 3 2 2" xfId="7364" xr:uid="{00000000-0005-0000-0000-0000EA180000}"/>
    <cellStyle name="Normal 5 2 4 2 3 2 2 2" xfId="16690" xr:uid="{EAF69581-9B0E-44D4-BAB3-FDB05AFB170E}"/>
    <cellStyle name="Normal 5 2 4 2 3 2 3" xfId="12473" xr:uid="{01AC3BD3-AD82-4C4F-A0B0-84D6BD4D7EF9}"/>
    <cellStyle name="Normal 5 2 4 2 3 3" xfId="5219" xr:uid="{00000000-0005-0000-0000-0000EB180000}"/>
    <cellStyle name="Normal 5 2 4 2 3 3 2" xfId="14545" xr:uid="{C7407072-C83E-4D2A-B745-FF1D84432BA0}"/>
    <cellStyle name="Normal 5 2 4 2 3 4" xfId="9355" xr:uid="{9D38A6AA-2F63-4275-9FB8-F86A15F6A4D3}"/>
    <cellStyle name="Normal 5 2 4 2 3 4 2" xfId="18670" xr:uid="{69F3E747-B305-4230-8CF2-F72173A6332F}"/>
    <cellStyle name="Normal 5 2 4 2 3 5" xfId="10328" xr:uid="{6A97C656-08A0-461C-8D38-6F2CA0F2E336}"/>
    <cellStyle name="Normal 5 2 4 2 4" xfId="1325" xr:uid="{00000000-0005-0000-0000-0000EC180000}"/>
    <cellStyle name="Normal 5 2 4 2 4 2" xfId="3555" xr:uid="{00000000-0005-0000-0000-0000ED180000}"/>
    <cellStyle name="Normal 5 2 4 2 4 2 2" xfId="7777" xr:uid="{00000000-0005-0000-0000-0000EE180000}"/>
    <cellStyle name="Normal 5 2 4 2 4 2 2 2" xfId="17103" xr:uid="{A43FA97A-F38D-448D-948B-80C96E3A7E2D}"/>
    <cellStyle name="Normal 5 2 4 2 4 2 3" xfId="12886" xr:uid="{9D0F1C4D-4814-4B27-94AA-01AC96CDA1A9}"/>
    <cellStyle name="Normal 5 2 4 2 4 3" xfId="5632" xr:uid="{00000000-0005-0000-0000-0000EF180000}"/>
    <cellStyle name="Normal 5 2 4 2 4 3 2" xfId="14958" xr:uid="{0319F1DA-4249-4ECF-B317-5CEA58A3A880}"/>
    <cellStyle name="Normal 5 2 4 2 4 4" xfId="10741" xr:uid="{0CCE5C21-5AB9-4723-B04A-591B41E9A849}"/>
    <cellStyle name="Normal 5 2 4 2 5" xfId="1738" xr:uid="{00000000-0005-0000-0000-0000F0180000}"/>
    <cellStyle name="Normal 5 2 4 2 5 2" xfId="3968" xr:uid="{00000000-0005-0000-0000-0000F1180000}"/>
    <cellStyle name="Normal 5 2 4 2 5 2 2" xfId="8190" xr:uid="{00000000-0005-0000-0000-0000F2180000}"/>
    <cellStyle name="Normal 5 2 4 2 5 2 2 2" xfId="17516" xr:uid="{9D044E1A-F936-4FC3-84E7-34941A2F38D9}"/>
    <cellStyle name="Normal 5 2 4 2 5 2 3" xfId="13299" xr:uid="{69BA6E1B-2C08-4B3B-9EA6-10199F4D91FD}"/>
    <cellStyle name="Normal 5 2 4 2 5 3" xfId="6045" xr:uid="{00000000-0005-0000-0000-0000F3180000}"/>
    <cellStyle name="Normal 5 2 4 2 5 3 2" xfId="15371" xr:uid="{DFC23DEB-D50A-45C3-AB42-2FA9417CA4A4}"/>
    <cellStyle name="Normal 5 2 4 2 5 4" xfId="11154" xr:uid="{380FF3EB-61ED-4532-A519-FA654A160019}"/>
    <cellStyle name="Normal 5 2 4 2 6" xfId="2152" xr:uid="{00000000-0005-0000-0000-0000F4180000}"/>
    <cellStyle name="Normal 5 2 4 2 6 2" xfId="4381" xr:uid="{00000000-0005-0000-0000-0000F5180000}"/>
    <cellStyle name="Normal 5 2 4 2 6 2 2" xfId="8603" xr:uid="{00000000-0005-0000-0000-0000F6180000}"/>
    <cellStyle name="Normal 5 2 4 2 6 2 2 2" xfId="17929" xr:uid="{5CDEA722-4B57-4724-BA92-62F69EF3C045}"/>
    <cellStyle name="Normal 5 2 4 2 6 2 3" xfId="13712" xr:uid="{CA1AFCB4-D759-4D4F-A748-86B418B038BD}"/>
    <cellStyle name="Normal 5 2 4 2 6 3" xfId="6458" xr:uid="{00000000-0005-0000-0000-0000F7180000}"/>
    <cellStyle name="Normal 5 2 4 2 6 3 2" xfId="15784" xr:uid="{520DA75A-1E74-4C4A-98C1-BD6AB57458E2}"/>
    <cellStyle name="Normal 5 2 4 2 6 4" xfId="11567" xr:uid="{7136E10D-830D-4BE2-82FB-D59EBC7CE642}"/>
    <cellStyle name="Normal 5 2 4 2 7" xfId="2588" xr:uid="{00000000-0005-0000-0000-0000F8180000}"/>
    <cellStyle name="Normal 5 2 4 2 7 2" xfId="6871" xr:uid="{00000000-0005-0000-0000-0000F9180000}"/>
    <cellStyle name="Normal 5 2 4 2 7 2 2" xfId="16197" xr:uid="{8D8E7059-CC86-43BF-A1AD-BF51E4C0C9A5}"/>
    <cellStyle name="Normal 5 2 4 2 7 3" xfId="11980" xr:uid="{A0A415A9-5771-47BF-A539-D75A4DADF462}"/>
    <cellStyle name="Normal 5 2 4 2 8" xfId="4806" xr:uid="{00000000-0005-0000-0000-0000FA180000}"/>
    <cellStyle name="Normal 5 2 4 2 8 2" xfId="14132" xr:uid="{965C9C32-F7BC-4A6A-AC9F-170382E00808}"/>
    <cellStyle name="Normal 5 2 4 2 9" xfId="8930" xr:uid="{66B84ABA-CAF3-4BBE-9026-E7A47CB6006F}"/>
    <cellStyle name="Normal 5 2 4 2 9 2" xfId="18254" xr:uid="{B0E6BFED-D70C-4865-8598-8C65A7747D49}"/>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2 2 2" xfId="16692" xr:uid="{2CDF99C1-E97C-4401-B7F6-CC6115F49FE6}"/>
    <cellStyle name="Normal 5 2 4 3 2 2 3" xfId="12475" xr:uid="{EA658702-9DD7-4FBC-B02E-E01659D91409}"/>
    <cellStyle name="Normal 5 2 4 3 2 3" xfId="5221" xr:uid="{00000000-0005-0000-0000-0000FF180000}"/>
    <cellStyle name="Normal 5 2 4 3 2 3 2" xfId="14547" xr:uid="{9FED83AB-1D4C-4442-92CF-08519FED7EB7}"/>
    <cellStyle name="Normal 5 2 4 3 2 4" xfId="9459" xr:uid="{ED2A936E-5624-4B26-A175-3FCE68E1BF5A}"/>
    <cellStyle name="Normal 5 2 4 3 2 4 2" xfId="18774" xr:uid="{C49A1F66-C34B-47A2-AD8C-B10B8B70DB22}"/>
    <cellStyle name="Normal 5 2 4 3 2 5" xfId="10330" xr:uid="{F7251074-C9F4-47B5-B190-026146BEBDB0}"/>
    <cellStyle name="Normal 5 2 4 3 3" xfId="1327" xr:uid="{00000000-0005-0000-0000-000000190000}"/>
    <cellStyle name="Normal 5 2 4 3 3 2" xfId="3557" xr:uid="{00000000-0005-0000-0000-000001190000}"/>
    <cellStyle name="Normal 5 2 4 3 3 2 2" xfId="7779" xr:uid="{00000000-0005-0000-0000-000002190000}"/>
    <cellStyle name="Normal 5 2 4 3 3 2 2 2" xfId="17105" xr:uid="{C930834C-6AE5-422D-AC1F-D72EB852B89D}"/>
    <cellStyle name="Normal 5 2 4 3 3 2 3" xfId="12888" xr:uid="{96E9F002-BBFB-40FF-B73A-8CCC1BE6A0E0}"/>
    <cellStyle name="Normal 5 2 4 3 3 3" xfId="5634" xr:uid="{00000000-0005-0000-0000-000003190000}"/>
    <cellStyle name="Normal 5 2 4 3 3 3 2" xfId="14960" xr:uid="{DA799751-DE5C-4297-8714-EAD19A998FDD}"/>
    <cellStyle name="Normal 5 2 4 3 3 4" xfId="10743" xr:uid="{A597F56B-F390-45A5-B533-2E8A788B2CA1}"/>
    <cellStyle name="Normal 5 2 4 3 4" xfId="1740" xr:uid="{00000000-0005-0000-0000-000004190000}"/>
    <cellStyle name="Normal 5 2 4 3 4 2" xfId="3970" xr:uid="{00000000-0005-0000-0000-000005190000}"/>
    <cellStyle name="Normal 5 2 4 3 4 2 2" xfId="8192" xr:uid="{00000000-0005-0000-0000-000006190000}"/>
    <cellStyle name="Normal 5 2 4 3 4 2 2 2" xfId="17518" xr:uid="{3E4968BB-DFB3-4B11-A6E8-DEC70FF0BCCB}"/>
    <cellStyle name="Normal 5 2 4 3 4 2 3" xfId="13301" xr:uid="{D2B5E645-1DC9-4F8A-A6BA-C0B4BA65D1F0}"/>
    <cellStyle name="Normal 5 2 4 3 4 3" xfId="6047" xr:uid="{00000000-0005-0000-0000-000007190000}"/>
    <cellStyle name="Normal 5 2 4 3 4 3 2" xfId="15373" xr:uid="{657C714B-81E7-4534-ACAA-8ADF4F4F9D26}"/>
    <cellStyle name="Normal 5 2 4 3 4 4" xfId="11156" xr:uid="{01B12243-9532-4090-916B-0D2EBD84B340}"/>
    <cellStyle name="Normal 5 2 4 3 5" xfId="2154" xr:uid="{00000000-0005-0000-0000-000008190000}"/>
    <cellStyle name="Normal 5 2 4 3 5 2" xfId="4383" xr:uid="{00000000-0005-0000-0000-000009190000}"/>
    <cellStyle name="Normal 5 2 4 3 5 2 2" xfId="8605" xr:uid="{00000000-0005-0000-0000-00000A190000}"/>
    <cellStyle name="Normal 5 2 4 3 5 2 2 2" xfId="17931" xr:uid="{5604EFAE-28C9-4851-AB2B-880557406F91}"/>
    <cellStyle name="Normal 5 2 4 3 5 2 3" xfId="13714" xr:uid="{75C4C3D5-27D4-4A7E-A98D-6A1FA7867688}"/>
    <cellStyle name="Normal 5 2 4 3 5 3" xfId="6460" xr:uid="{00000000-0005-0000-0000-00000B190000}"/>
    <cellStyle name="Normal 5 2 4 3 5 3 2" xfId="15786" xr:uid="{E9E6F6E1-D8F3-452E-806E-C91B2DDB0AEF}"/>
    <cellStyle name="Normal 5 2 4 3 5 4" xfId="11569" xr:uid="{A5E5BAF7-181B-4017-ACE9-99A10FCEB011}"/>
    <cellStyle name="Normal 5 2 4 3 6" xfId="2590" xr:uid="{00000000-0005-0000-0000-00000C190000}"/>
    <cellStyle name="Normal 5 2 4 3 6 2" xfId="6873" xr:uid="{00000000-0005-0000-0000-00000D190000}"/>
    <cellStyle name="Normal 5 2 4 3 6 2 2" xfId="16199" xr:uid="{5D244519-CAEC-43D7-AA48-133239001ECA}"/>
    <cellStyle name="Normal 5 2 4 3 6 3" xfId="11982" xr:uid="{69A3C905-B6DE-4A8F-BB6C-853ECA066861}"/>
    <cellStyle name="Normal 5 2 4 3 7" xfId="4808" xr:uid="{00000000-0005-0000-0000-00000E190000}"/>
    <cellStyle name="Normal 5 2 4 3 7 2" xfId="14134" xr:uid="{89FD08F6-72AA-45AB-A905-423E1A9E4F4D}"/>
    <cellStyle name="Normal 5 2 4 3 8" xfId="9034" xr:uid="{82D3DE5B-E868-4CF9-BA07-6E197DA4FAA5}"/>
    <cellStyle name="Normal 5 2 4 3 8 2" xfId="18358" xr:uid="{8D997825-7D73-4CCD-A631-EC0595A6B771}"/>
    <cellStyle name="Normal 5 2 4 3 9" xfId="9917" xr:uid="{E9D14F58-7774-4812-BE52-3EBA5E992B50}"/>
    <cellStyle name="Normal 5 2 4 4" xfId="906" xr:uid="{00000000-0005-0000-0000-00000F190000}"/>
    <cellStyle name="Normal 5 2 4 4 2" xfId="3141" xr:uid="{00000000-0005-0000-0000-000010190000}"/>
    <cellStyle name="Normal 5 2 4 4 2 2" xfId="7363" xr:uid="{00000000-0005-0000-0000-000011190000}"/>
    <cellStyle name="Normal 5 2 4 4 2 2 2" xfId="16689" xr:uid="{63D74CED-5B02-4F0E-88D9-24BBBEDB53C5}"/>
    <cellStyle name="Normal 5 2 4 4 2 3" xfId="12472" xr:uid="{9D983EA8-2F3B-477D-99A8-FDDBC5EFC494}"/>
    <cellStyle name="Normal 5 2 4 4 3" xfId="5218" xr:uid="{00000000-0005-0000-0000-000012190000}"/>
    <cellStyle name="Normal 5 2 4 4 3 2" xfId="14544" xr:uid="{457AD79F-CF1B-4503-8EBD-25B36181C608}"/>
    <cellStyle name="Normal 5 2 4 4 4" xfId="9252" xr:uid="{1D1A8EC4-7286-46A1-B40C-E987F273E760}"/>
    <cellStyle name="Normal 5 2 4 4 4 2" xfId="18567" xr:uid="{C707F2C2-BABE-4189-9C28-9598ACBF933A}"/>
    <cellStyle name="Normal 5 2 4 4 5" xfId="10327" xr:uid="{07C10B30-D5B7-4961-A96A-AE90CC1E6D4C}"/>
    <cellStyle name="Normal 5 2 4 5" xfId="1324" xr:uid="{00000000-0005-0000-0000-000013190000}"/>
    <cellStyle name="Normal 5 2 4 5 2" xfId="3554" xr:uid="{00000000-0005-0000-0000-000014190000}"/>
    <cellStyle name="Normal 5 2 4 5 2 2" xfId="7776" xr:uid="{00000000-0005-0000-0000-000015190000}"/>
    <cellStyle name="Normal 5 2 4 5 2 2 2" xfId="17102" xr:uid="{D3047ED6-A321-41DF-BD70-F6B2E9ED0A6B}"/>
    <cellStyle name="Normal 5 2 4 5 2 3" xfId="12885" xr:uid="{267505AC-E8CA-4C3A-B00C-299ED0BF7BFE}"/>
    <cellStyle name="Normal 5 2 4 5 3" xfId="5631" xr:uid="{00000000-0005-0000-0000-000016190000}"/>
    <cellStyle name="Normal 5 2 4 5 3 2" xfId="14957" xr:uid="{C50637D6-653C-47F3-A76A-76E3A8E8FC43}"/>
    <cellStyle name="Normal 5 2 4 5 4" xfId="10740" xr:uid="{B1D9E746-E9D4-4B05-AFD9-AB793693E3B9}"/>
    <cellStyle name="Normal 5 2 4 6" xfId="1737" xr:uid="{00000000-0005-0000-0000-000017190000}"/>
    <cellStyle name="Normal 5 2 4 6 2" xfId="3967" xr:uid="{00000000-0005-0000-0000-000018190000}"/>
    <cellStyle name="Normal 5 2 4 6 2 2" xfId="8189" xr:uid="{00000000-0005-0000-0000-000019190000}"/>
    <cellStyle name="Normal 5 2 4 6 2 2 2" xfId="17515" xr:uid="{90F8489F-27A3-45CD-8490-9CFEE760D27E}"/>
    <cellStyle name="Normal 5 2 4 6 2 3" xfId="13298" xr:uid="{9F201876-C668-4C0D-AFFF-A8C4E20BD27B}"/>
    <cellStyle name="Normal 5 2 4 6 3" xfId="6044" xr:uid="{00000000-0005-0000-0000-00001A190000}"/>
    <cellStyle name="Normal 5 2 4 6 3 2" xfId="15370" xr:uid="{96466127-4CF4-49D4-AB82-66561DC8B349}"/>
    <cellStyle name="Normal 5 2 4 6 4" xfId="11153" xr:uid="{3B50A4E0-1885-410E-A04F-BC0914F5DD66}"/>
    <cellStyle name="Normal 5 2 4 7" xfId="2151" xr:uid="{00000000-0005-0000-0000-00001B190000}"/>
    <cellStyle name="Normal 5 2 4 7 2" xfId="4380" xr:uid="{00000000-0005-0000-0000-00001C190000}"/>
    <cellStyle name="Normal 5 2 4 7 2 2" xfId="8602" xr:uid="{00000000-0005-0000-0000-00001D190000}"/>
    <cellStyle name="Normal 5 2 4 7 2 2 2" xfId="17928" xr:uid="{7F4263B6-F5FE-436E-B103-46EB223E6984}"/>
    <cellStyle name="Normal 5 2 4 7 2 3" xfId="13711" xr:uid="{268A2585-70C5-4EEC-BE81-7468BCD66C5D}"/>
    <cellStyle name="Normal 5 2 4 7 3" xfId="6457" xr:uid="{00000000-0005-0000-0000-00001E190000}"/>
    <cellStyle name="Normal 5 2 4 7 3 2" xfId="15783" xr:uid="{33A0127E-0C19-4224-B8A3-FC662F068522}"/>
    <cellStyle name="Normal 5 2 4 7 4" xfId="11566" xr:uid="{FE34492A-A43B-426C-9F74-9F0E5945AE0A}"/>
    <cellStyle name="Normal 5 2 4 8" xfId="2587" xr:uid="{00000000-0005-0000-0000-00001F190000}"/>
    <cellStyle name="Normal 5 2 4 8 2" xfId="6870" xr:uid="{00000000-0005-0000-0000-000020190000}"/>
    <cellStyle name="Normal 5 2 4 8 2 2" xfId="16196" xr:uid="{A49B76D6-33C1-4F50-A7EB-CE2242CD95F4}"/>
    <cellStyle name="Normal 5 2 4 8 3" xfId="11979" xr:uid="{EE70EF8A-C403-4ACB-8098-638B22049177}"/>
    <cellStyle name="Normal 5 2 4 9" xfId="4805" xr:uid="{00000000-0005-0000-0000-000021190000}"/>
    <cellStyle name="Normal 5 2 4 9 2" xfId="14131" xr:uid="{8FDCA41C-F262-41A5-8F82-6CAC515CBF16}"/>
    <cellStyle name="Normal 5 2 5" xfId="436" xr:uid="{00000000-0005-0000-0000-000022190000}"/>
    <cellStyle name="Normal 5 2 5 10" xfId="9918" xr:uid="{E94CCCF7-6FE0-4A6D-8114-F6E083688086}"/>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2 2 2" xfId="16694" xr:uid="{74E66746-0D9F-4E28-ACF7-6328A3AD93D1}"/>
    <cellStyle name="Normal 5 2 5 2 2 2 3" xfId="12477" xr:uid="{679936EB-5C4F-4409-ADFF-ED27C1DCADE6}"/>
    <cellStyle name="Normal 5 2 5 2 2 3" xfId="5223" xr:uid="{00000000-0005-0000-0000-000027190000}"/>
    <cellStyle name="Normal 5 2 5 2 2 3 2" xfId="14549" xr:uid="{72FCDC95-BF61-4F51-8ED7-138F69F3D421}"/>
    <cellStyle name="Normal 5 2 5 2 2 4" xfId="9479" xr:uid="{0DDFFFD4-5D62-4038-B6D4-9E9BD7CBA380}"/>
    <cellStyle name="Normal 5 2 5 2 2 4 2" xfId="18794" xr:uid="{186868D2-ABCA-49B5-83DD-9C99A366E535}"/>
    <cellStyle name="Normal 5 2 5 2 2 5" xfId="10332" xr:uid="{22265C28-590C-41A5-8F8A-99CEA8FB1525}"/>
    <cellStyle name="Normal 5 2 5 2 3" xfId="1329" xr:uid="{00000000-0005-0000-0000-000028190000}"/>
    <cellStyle name="Normal 5 2 5 2 3 2" xfId="3559" xr:uid="{00000000-0005-0000-0000-000029190000}"/>
    <cellStyle name="Normal 5 2 5 2 3 2 2" xfId="7781" xr:uid="{00000000-0005-0000-0000-00002A190000}"/>
    <cellStyle name="Normal 5 2 5 2 3 2 2 2" xfId="17107" xr:uid="{742F03A1-4B09-467A-9E63-8C9BC6DE663F}"/>
    <cellStyle name="Normal 5 2 5 2 3 2 3" xfId="12890" xr:uid="{74249211-5779-403E-8C76-FC7F1C2B93DE}"/>
    <cellStyle name="Normal 5 2 5 2 3 3" xfId="5636" xr:uid="{00000000-0005-0000-0000-00002B190000}"/>
    <cellStyle name="Normal 5 2 5 2 3 3 2" xfId="14962" xr:uid="{DF49C563-9422-44A5-9ABA-5577C4AF1B66}"/>
    <cellStyle name="Normal 5 2 5 2 3 4" xfId="10745" xr:uid="{A3F3D171-4015-4E15-B6A1-F43CD21F7E96}"/>
    <cellStyle name="Normal 5 2 5 2 4" xfId="1742" xr:uid="{00000000-0005-0000-0000-00002C190000}"/>
    <cellStyle name="Normal 5 2 5 2 4 2" xfId="3972" xr:uid="{00000000-0005-0000-0000-00002D190000}"/>
    <cellStyle name="Normal 5 2 5 2 4 2 2" xfId="8194" xr:uid="{00000000-0005-0000-0000-00002E190000}"/>
    <cellStyle name="Normal 5 2 5 2 4 2 2 2" xfId="17520" xr:uid="{BCF54FC3-DF03-4619-A7B2-83C4DDF60028}"/>
    <cellStyle name="Normal 5 2 5 2 4 2 3" xfId="13303" xr:uid="{90A5E8D3-AB3A-4718-8387-68E57B19A6CC}"/>
    <cellStyle name="Normal 5 2 5 2 4 3" xfId="6049" xr:uid="{00000000-0005-0000-0000-00002F190000}"/>
    <cellStyle name="Normal 5 2 5 2 4 3 2" xfId="15375" xr:uid="{1F225638-2413-468C-9C1B-C426CAB1568A}"/>
    <cellStyle name="Normal 5 2 5 2 4 4" xfId="11158" xr:uid="{09523367-636A-4781-89BB-7C21018ED075}"/>
    <cellStyle name="Normal 5 2 5 2 5" xfId="2156" xr:uid="{00000000-0005-0000-0000-000030190000}"/>
    <cellStyle name="Normal 5 2 5 2 5 2" xfId="4385" xr:uid="{00000000-0005-0000-0000-000031190000}"/>
    <cellStyle name="Normal 5 2 5 2 5 2 2" xfId="8607" xr:uid="{00000000-0005-0000-0000-000032190000}"/>
    <cellStyle name="Normal 5 2 5 2 5 2 2 2" xfId="17933" xr:uid="{B4B7B133-041E-438D-8981-74BAAF2C5256}"/>
    <cellStyle name="Normal 5 2 5 2 5 2 3" xfId="13716" xr:uid="{3CF97798-48C4-4608-91B0-4131F1BCECE2}"/>
    <cellStyle name="Normal 5 2 5 2 5 3" xfId="6462" xr:uid="{00000000-0005-0000-0000-000033190000}"/>
    <cellStyle name="Normal 5 2 5 2 5 3 2" xfId="15788" xr:uid="{A565AFAC-7084-4256-A904-5F3880047D72}"/>
    <cellStyle name="Normal 5 2 5 2 5 4" xfId="11571" xr:uid="{B3101C4B-B3E8-4B71-BE31-2C58A01F2757}"/>
    <cellStyle name="Normal 5 2 5 2 6" xfId="2592" xr:uid="{00000000-0005-0000-0000-000034190000}"/>
    <cellStyle name="Normal 5 2 5 2 6 2" xfId="6875" xr:uid="{00000000-0005-0000-0000-000035190000}"/>
    <cellStyle name="Normal 5 2 5 2 6 2 2" xfId="16201" xr:uid="{ECA9B45F-8A88-43C5-8032-2090DE3979A4}"/>
    <cellStyle name="Normal 5 2 5 2 6 3" xfId="11984" xr:uid="{79962833-8CFF-435B-A6A8-68CAC8875C8F}"/>
    <cellStyle name="Normal 5 2 5 2 7" xfId="4810" xr:uid="{00000000-0005-0000-0000-000036190000}"/>
    <cellStyle name="Normal 5 2 5 2 7 2" xfId="14136" xr:uid="{A2694DE2-1F06-43EE-A02D-0DD6CD5D2899}"/>
    <cellStyle name="Normal 5 2 5 2 8" xfId="9054" xr:uid="{844F6476-DDB9-4C38-A2B2-83AB0DCF1773}"/>
    <cellStyle name="Normal 5 2 5 2 8 2" xfId="18378" xr:uid="{10D68760-BB4B-4047-9369-F1EFB0E67E1D}"/>
    <cellStyle name="Normal 5 2 5 2 9" xfId="9919" xr:uid="{CD1E3FF9-B96C-4C8E-8F40-605D9730A40E}"/>
    <cellStyle name="Normal 5 2 5 3" xfId="910" xr:uid="{00000000-0005-0000-0000-000037190000}"/>
    <cellStyle name="Normal 5 2 5 3 2" xfId="3145" xr:uid="{00000000-0005-0000-0000-000038190000}"/>
    <cellStyle name="Normal 5 2 5 3 2 2" xfId="7367" xr:uid="{00000000-0005-0000-0000-000039190000}"/>
    <cellStyle name="Normal 5 2 5 3 2 2 2" xfId="16693" xr:uid="{B7A8E23D-08E9-4978-B79C-D26ED0585989}"/>
    <cellStyle name="Normal 5 2 5 3 2 3" xfId="12476" xr:uid="{4E61D25F-73A4-42E8-8E9B-201DF3746807}"/>
    <cellStyle name="Normal 5 2 5 3 3" xfId="5222" xr:uid="{00000000-0005-0000-0000-00003A190000}"/>
    <cellStyle name="Normal 5 2 5 3 3 2" xfId="14548" xr:uid="{DD11A772-2B47-490B-AC78-0213139AD9BF}"/>
    <cellStyle name="Normal 5 2 5 3 4" xfId="9272" xr:uid="{8865498C-CC61-4C5F-A1F4-57A1D301E1CE}"/>
    <cellStyle name="Normal 5 2 5 3 4 2" xfId="18587" xr:uid="{99FF5F60-AC6E-4F67-A276-638204AE4C2C}"/>
    <cellStyle name="Normal 5 2 5 3 5" xfId="10331" xr:uid="{C1487803-D31F-4671-A8D7-DC17D24FFFBA}"/>
    <cellStyle name="Normal 5 2 5 4" xfId="1328" xr:uid="{00000000-0005-0000-0000-00003B190000}"/>
    <cellStyle name="Normal 5 2 5 4 2" xfId="3558" xr:uid="{00000000-0005-0000-0000-00003C190000}"/>
    <cellStyle name="Normal 5 2 5 4 2 2" xfId="7780" xr:uid="{00000000-0005-0000-0000-00003D190000}"/>
    <cellStyle name="Normal 5 2 5 4 2 2 2" xfId="17106" xr:uid="{5213BC42-E75D-4FBF-8455-EB278D056BF2}"/>
    <cellStyle name="Normal 5 2 5 4 2 3" xfId="12889" xr:uid="{7A0187A7-8BA2-4DA7-9A10-01231CCCC5A2}"/>
    <cellStyle name="Normal 5 2 5 4 3" xfId="5635" xr:uid="{00000000-0005-0000-0000-00003E190000}"/>
    <cellStyle name="Normal 5 2 5 4 3 2" xfId="14961" xr:uid="{951EEB30-78C9-4D2C-971E-F1D0D722DDDF}"/>
    <cellStyle name="Normal 5 2 5 4 4" xfId="10744" xr:uid="{28A1EC67-6B5D-454B-AE60-42859BAED7C2}"/>
    <cellStyle name="Normal 5 2 5 5" xfId="1741" xr:uid="{00000000-0005-0000-0000-00003F190000}"/>
    <cellStyle name="Normal 5 2 5 5 2" xfId="3971" xr:uid="{00000000-0005-0000-0000-000040190000}"/>
    <cellStyle name="Normal 5 2 5 5 2 2" xfId="8193" xr:uid="{00000000-0005-0000-0000-000041190000}"/>
    <cellStyle name="Normal 5 2 5 5 2 2 2" xfId="17519" xr:uid="{73EE1BF9-BE96-43A4-854A-B7AED68E5CE6}"/>
    <cellStyle name="Normal 5 2 5 5 2 3" xfId="13302" xr:uid="{F1F381C7-8F63-4E5E-ABBF-04E5319D1B7F}"/>
    <cellStyle name="Normal 5 2 5 5 3" xfId="6048" xr:uid="{00000000-0005-0000-0000-000042190000}"/>
    <cellStyle name="Normal 5 2 5 5 3 2" xfId="15374" xr:uid="{EA9338EC-4EE2-48DA-B0A1-3A0DF33E4444}"/>
    <cellStyle name="Normal 5 2 5 5 4" xfId="11157" xr:uid="{3940F861-FEF8-4F9D-BE0C-D70126F091D2}"/>
    <cellStyle name="Normal 5 2 5 6" xfId="2155" xr:uid="{00000000-0005-0000-0000-000043190000}"/>
    <cellStyle name="Normal 5 2 5 6 2" xfId="4384" xr:uid="{00000000-0005-0000-0000-000044190000}"/>
    <cellStyle name="Normal 5 2 5 6 2 2" xfId="8606" xr:uid="{00000000-0005-0000-0000-000045190000}"/>
    <cellStyle name="Normal 5 2 5 6 2 2 2" xfId="17932" xr:uid="{CAE14457-27C0-4291-A311-09B5F6039C86}"/>
    <cellStyle name="Normal 5 2 5 6 2 3" xfId="13715" xr:uid="{E92F5BF0-505D-42A0-BDD4-23C4A384DC2E}"/>
    <cellStyle name="Normal 5 2 5 6 3" xfId="6461" xr:uid="{00000000-0005-0000-0000-000046190000}"/>
    <cellStyle name="Normal 5 2 5 6 3 2" xfId="15787" xr:uid="{1D2DBB21-76CE-4DE5-B533-7E9366AD857D}"/>
    <cellStyle name="Normal 5 2 5 6 4" xfId="11570" xr:uid="{7D8A0FDE-DBBB-402E-84CE-77E94D821CB6}"/>
    <cellStyle name="Normal 5 2 5 7" xfId="2591" xr:uid="{00000000-0005-0000-0000-000047190000}"/>
    <cellStyle name="Normal 5 2 5 7 2" xfId="6874" xr:uid="{00000000-0005-0000-0000-000048190000}"/>
    <cellStyle name="Normal 5 2 5 7 2 2" xfId="16200" xr:uid="{D28DAFBB-CF3A-42B9-BA8C-173410C32F29}"/>
    <cellStyle name="Normal 5 2 5 7 3" xfId="11983" xr:uid="{4F64C7A5-07E0-4FC6-BA5D-B2A93E8A991A}"/>
    <cellStyle name="Normal 5 2 5 8" xfId="4809" xr:uid="{00000000-0005-0000-0000-000049190000}"/>
    <cellStyle name="Normal 5 2 5 8 2" xfId="14135" xr:uid="{406115E7-3E12-4776-8AB1-7FEF21DE93B8}"/>
    <cellStyle name="Normal 5 2 5 9" xfId="8847" xr:uid="{504334B5-BB84-4906-81A5-68746D711AC3}"/>
    <cellStyle name="Normal 5 2 5 9 2" xfId="18171" xr:uid="{3A824180-BCBF-4667-9244-F08D24DA770B}"/>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2 2 2" xfId="16695" xr:uid="{40ACADE6-C7C5-4902-AE54-7512658A95BF}"/>
    <cellStyle name="Normal 5 2 6 2 2 3" xfId="12478" xr:uid="{39BE2ABF-6C52-42E0-ADE1-2EFE86AEEC66}"/>
    <cellStyle name="Normal 5 2 6 2 3" xfId="5224" xr:uid="{00000000-0005-0000-0000-00004E190000}"/>
    <cellStyle name="Normal 5 2 6 2 3 2" xfId="14550" xr:uid="{5FC2B6EA-B9D0-4AC1-A6B7-B2404B260A35}"/>
    <cellStyle name="Normal 5 2 6 2 4" xfId="9388" xr:uid="{38BE55A5-085B-499D-8766-DF826B77D03C}"/>
    <cellStyle name="Normal 5 2 6 2 4 2" xfId="18703" xr:uid="{681EA9DA-DC2C-41B1-A9EA-6427351267F8}"/>
    <cellStyle name="Normal 5 2 6 2 5" xfId="10333" xr:uid="{61520B7D-590A-48C4-8497-7400A6EEFF63}"/>
    <cellStyle name="Normal 5 2 6 3" xfId="1330" xr:uid="{00000000-0005-0000-0000-00004F190000}"/>
    <cellStyle name="Normal 5 2 6 3 2" xfId="3560" xr:uid="{00000000-0005-0000-0000-000050190000}"/>
    <cellStyle name="Normal 5 2 6 3 2 2" xfId="7782" xr:uid="{00000000-0005-0000-0000-000051190000}"/>
    <cellStyle name="Normal 5 2 6 3 2 2 2" xfId="17108" xr:uid="{2FBD03B2-71F1-44A4-AE25-72DBDD92DCDF}"/>
    <cellStyle name="Normal 5 2 6 3 2 3" xfId="12891" xr:uid="{C7F7F9C1-620A-4CD1-BC59-30F89E572A47}"/>
    <cellStyle name="Normal 5 2 6 3 3" xfId="5637" xr:uid="{00000000-0005-0000-0000-000052190000}"/>
    <cellStyle name="Normal 5 2 6 3 3 2" xfId="14963" xr:uid="{1A76B1D1-6B5E-4768-9CEA-F6158AEAF4F2}"/>
    <cellStyle name="Normal 5 2 6 3 4" xfId="10746" xr:uid="{8A979053-D55B-4B10-A22E-093363F67CA6}"/>
    <cellStyle name="Normal 5 2 6 4" xfId="1743" xr:uid="{00000000-0005-0000-0000-000053190000}"/>
    <cellStyle name="Normal 5 2 6 4 2" xfId="3973" xr:uid="{00000000-0005-0000-0000-000054190000}"/>
    <cellStyle name="Normal 5 2 6 4 2 2" xfId="8195" xr:uid="{00000000-0005-0000-0000-000055190000}"/>
    <cellStyle name="Normal 5 2 6 4 2 2 2" xfId="17521" xr:uid="{230E57FD-16E8-47E1-A2D6-D0A6BDD8DE15}"/>
    <cellStyle name="Normal 5 2 6 4 2 3" xfId="13304" xr:uid="{1B2BABE8-AB1F-49B7-9E7D-C49F3AC8CC20}"/>
    <cellStyle name="Normal 5 2 6 4 3" xfId="6050" xr:uid="{00000000-0005-0000-0000-000056190000}"/>
    <cellStyle name="Normal 5 2 6 4 3 2" xfId="15376" xr:uid="{6400304A-1DE4-4086-98C8-97C0974049CA}"/>
    <cellStyle name="Normal 5 2 6 4 4" xfId="11159" xr:uid="{397DADE4-9ADD-48BC-A82D-B91ED70B86DE}"/>
    <cellStyle name="Normal 5 2 6 5" xfId="2157" xr:uid="{00000000-0005-0000-0000-000057190000}"/>
    <cellStyle name="Normal 5 2 6 5 2" xfId="4386" xr:uid="{00000000-0005-0000-0000-000058190000}"/>
    <cellStyle name="Normal 5 2 6 5 2 2" xfId="8608" xr:uid="{00000000-0005-0000-0000-000059190000}"/>
    <cellStyle name="Normal 5 2 6 5 2 2 2" xfId="17934" xr:uid="{0F7F9C15-FB83-4308-B02D-B8AC81E32121}"/>
    <cellStyle name="Normal 5 2 6 5 2 3" xfId="13717" xr:uid="{E9D30D9E-6CE6-4170-A2F8-921954FA02FF}"/>
    <cellStyle name="Normal 5 2 6 5 3" xfId="6463" xr:uid="{00000000-0005-0000-0000-00005A190000}"/>
    <cellStyle name="Normal 5 2 6 5 3 2" xfId="15789" xr:uid="{74CC7694-E86D-415E-B61C-C7487EAE4339}"/>
    <cellStyle name="Normal 5 2 6 5 4" xfId="11572" xr:uid="{D1EDE0EC-6FCA-46C2-AC48-9ACA92EC3234}"/>
    <cellStyle name="Normal 5 2 6 6" xfId="2593" xr:uid="{00000000-0005-0000-0000-00005B190000}"/>
    <cellStyle name="Normal 5 2 6 6 2" xfId="6876" xr:uid="{00000000-0005-0000-0000-00005C190000}"/>
    <cellStyle name="Normal 5 2 6 6 2 2" xfId="16202" xr:uid="{9A277815-A7DE-4F4E-95E3-5C8E091F2A9D}"/>
    <cellStyle name="Normal 5 2 6 6 3" xfId="11985" xr:uid="{5AD93A59-E74B-4862-AA0A-3F3C5BCCA246}"/>
    <cellStyle name="Normal 5 2 6 7" xfId="4811" xr:uid="{00000000-0005-0000-0000-00005D190000}"/>
    <cellStyle name="Normal 5 2 6 7 2" xfId="14137" xr:uid="{0AB34120-7B91-4061-BFCE-C14D4D005F47}"/>
    <cellStyle name="Normal 5 2 6 8" xfId="8963" xr:uid="{01BDB756-0B70-4C0D-AC32-9959EE0C8F11}"/>
    <cellStyle name="Normal 5 2 6 8 2" xfId="18287" xr:uid="{C71373BA-5E24-4590-84F1-8EB0D48542BA}"/>
    <cellStyle name="Normal 5 2 6 9" xfId="9920" xr:uid="{42EA09E2-8E4E-4606-898E-9D815FD35E0F}"/>
    <cellStyle name="Normal 5 2 7" xfId="881" xr:uid="{00000000-0005-0000-0000-00005E190000}"/>
    <cellStyle name="Normal 5 2 7 2" xfId="3116" xr:uid="{00000000-0005-0000-0000-00005F190000}"/>
    <cellStyle name="Normal 5 2 7 2 2" xfId="7338" xr:uid="{00000000-0005-0000-0000-000060190000}"/>
    <cellStyle name="Normal 5 2 7 2 2 2" xfId="16664" xr:uid="{4EC08A72-6F58-472A-8175-3FDBF34B1012}"/>
    <cellStyle name="Normal 5 2 7 2 3" xfId="12447" xr:uid="{0B7C1A2F-6F4A-42D5-AA8F-CBD34A564A74}"/>
    <cellStyle name="Normal 5 2 7 3" xfId="5193" xr:uid="{00000000-0005-0000-0000-000061190000}"/>
    <cellStyle name="Normal 5 2 7 3 2" xfId="14519" xr:uid="{993FB861-A6E2-43A2-B941-3694FCDAF373}"/>
    <cellStyle name="Normal 5 2 7 4" xfId="9166" xr:uid="{903BB692-5043-4803-B109-F7C532EB2A09}"/>
    <cellStyle name="Normal 5 2 7 4 2" xfId="18484" xr:uid="{224E1E42-A014-473D-AE51-E6C49218CDDE}"/>
    <cellStyle name="Normal 5 2 7 5" xfId="10302" xr:uid="{2378C39B-2F3C-436C-8A66-F477F57C3F33}"/>
    <cellStyle name="Normal 5 2 8" xfId="1299" xr:uid="{00000000-0005-0000-0000-000062190000}"/>
    <cellStyle name="Normal 5 2 8 2" xfId="3529" xr:uid="{00000000-0005-0000-0000-000063190000}"/>
    <cellStyle name="Normal 5 2 8 2 2" xfId="7751" xr:uid="{00000000-0005-0000-0000-000064190000}"/>
    <cellStyle name="Normal 5 2 8 2 2 2" xfId="17077" xr:uid="{781F2DA6-9006-4737-94CA-DD056CD2C193}"/>
    <cellStyle name="Normal 5 2 8 2 3" xfId="12860" xr:uid="{5847466B-07A6-498B-BB5E-8A0EA9ABB5AB}"/>
    <cellStyle name="Normal 5 2 8 3" xfId="5606" xr:uid="{00000000-0005-0000-0000-000065190000}"/>
    <cellStyle name="Normal 5 2 8 3 2" xfId="14932" xr:uid="{4DE97ED1-CEB8-4468-A85D-EC909650E114}"/>
    <cellStyle name="Normal 5 2 8 4" xfId="10715" xr:uid="{E9DFC0F1-A18C-4B7A-AE4A-D2ADCFEC1240}"/>
    <cellStyle name="Normal 5 2 9" xfId="1712" xr:uid="{00000000-0005-0000-0000-000066190000}"/>
    <cellStyle name="Normal 5 2 9 2" xfId="3942" xr:uid="{00000000-0005-0000-0000-000067190000}"/>
    <cellStyle name="Normal 5 2 9 2 2" xfId="8164" xr:uid="{00000000-0005-0000-0000-000068190000}"/>
    <cellStyle name="Normal 5 2 9 2 2 2" xfId="17490" xr:uid="{D1F5E061-B4FB-4E51-B4BC-CC1505FC8740}"/>
    <cellStyle name="Normal 5 2 9 2 3" xfId="13273" xr:uid="{16A0B84D-8559-4E9D-A825-D9C1C962D81F}"/>
    <cellStyle name="Normal 5 2 9 3" xfId="6019" xr:uid="{00000000-0005-0000-0000-000069190000}"/>
    <cellStyle name="Normal 5 2 9 3 2" xfId="15345" xr:uid="{7A9580B0-9B5A-46EC-A001-CC5E27789B50}"/>
    <cellStyle name="Normal 5 2 9 4" xfId="11128" xr:uid="{991315D8-626E-4F36-BD0D-C1F7239036A4}"/>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2 2 2" xfId="17935" xr:uid="{C180FE9A-1D2D-43DA-9E75-EBA49C096CC7}"/>
    <cellStyle name="Normal 5 3 10 2 3" xfId="13718" xr:uid="{E149E87E-7A0B-4A27-B8DC-5295155F43C8}"/>
    <cellStyle name="Normal 5 3 10 3" xfId="6464" xr:uid="{00000000-0005-0000-0000-00006E190000}"/>
    <cellStyle name="Normal 5 3 10 3 2" xfId="15790" xr:uid="{3916E43C-5301-4B14-8219-9F663E4F40FC}"/>
    <cellStyle name="Normal 5 3 10 4" xfId="11573" xr:uid="{C70FC579-ED78-47F5-A6C5-BE0EF1CD2B05}"/>
    <cellStyle name="Normal 5 3 11" xfId="2594" xr:uid="{00000000-0005-0000-0000-00006F190000}"/>
    <cellStyle name="Normal 5 3 11 2" xfId="6877" xr:uid="{00000000-0005-0000-0000-000070190000}"/>
    <cellStyle name="Normal 5 3 11 2 2" xfId="16203" xr:uid="{4C90AFAE-3182-4FA5-9F5C-0B17B788E343}"/>
    <cellStyle name="Normal 5 3 11 3" xfId="11986" xr:uid="{D2AA6101-5034-42C4-829B-7FE0B7E12DE9}"/>
    <cellStyle name="Normal 5 3 12" xfId="4812" xr:uid="{00000000-0005-0000-0000-000071190000}"/>
    <cellStyle name="Normal 5 3 12 2" xfId="14138" xr:uid="{42049308-0F2C-4867-96A0-85BB4706E6B8}"/>
    <cellStyle name="Normal 5 3 13" xfId="8750" xr:uid="{36957AEF-D081-4A23-AEE3-073A5901863C}"/>
    <cellStyle name="Normal 5 3 13 2" xfId="18074" xr:uid="{F7CE56CD-B6CD-4016-B185-72BED45504C0}"/>
    <cellStyle name="Normal 5 3 14" xfId="9921" xr:uid="{94A679B4-7907-40C3-A35A-638F0045C7AF}"/>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0 2" xfId="14139" xr:uid="{A5B3551F-7AED-4DEE-956C-163D378276A0}"/>
    <cellStyle name="Normal 5 3 3 11" xfId="8782" xr:uid="{4219AD28-469A-4693-BD0B-B0536AC433E5}"/>
    <cellStyle name="Normal 5 3 3 11 2" xfId="18106" xr:uid="{3596E1B4-8AAE-47AB-B9AF-E5ABAE997189}"/>
    <cellStyle name="Normal 5 3 3 12" xfId="9922" xr:uid="{FF2BF265-0D04-4144-911B-53F2D4B9BAB2}"/>
    <cellStyle name="Normal 5 3 3 2" xfId="442" xr:uid="{00000000-0005-0000-0000-000076190000}"/>
    <cellStyle name="Normal 5 3 3 2 10" xfId="8832" xr:uid="{03323DDB-E4E1-4078-8BBE-EA3DD4471E1B}"/>
    <cellStyle name="Normal 5 3 3 2 10 2" xfId="18156" xr:uid="{9911D21B-A19D-445B-AC52-C546CD5CBCC5}"/>
    <cellStyle name="Normal 5 3 3 2 11" xfId="9923" xr:uid="{76765CF0-CF87-4933-B4E4-C6A2FB988C64}"/>
    <cellStyle name="Normal 5 3 3 2 2" xfId="443" xr:uid="{00000000-0005-0000-0000-000077190000}"/>
    <cellStyle name="Normal 5 3 3 2 2 10" xfId="9924" xr:uid="{C84B6E7D-FFDB-4101-84FF-D2402E3ADEFF}"/>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2 2 2" xfId="16700" xr:uid="{24BCAEEB-574F-4F37-A861-24B97994C8D4}"/>
    <cellStyle name="Normal 5 3 3 2 2 2 2 2 3" xfId="12483" xr:uid="{6FA8F2E7-FE39-4125-98C6-09EC474A9F1A}"/>
    <cellStyle name="Normal 5 3 3 2 2 2 2 3" xfId="5229" xr:uid="{00000000-0005-0000-0000-00007C190000}"/>
    <cellStyle name="Normal 5 3 3 2 2 2 2 3 2" xfId="14555" xr:uid="{3191D88A-6EB9-4E4A-A2B0-9590CFBD8F84}"/>
    <cellStyle name="Normal 5 3 3 2 2 2 2 4" xfId="9567" xr:uid="{C2519486-6BC5-47D1-879F-EC6040BC9E9D}"/>
    <cellStyle name="Normal 5 3 3 2 2 2 2 4 2" xfId="18882" xr:uid="{3F94AD48-BD8B-4E01-9FA2-E81E795FF66B}"/>
    <cellStyle name="Normal 5 3 3 2 2 2 2 5" xfId="10338" xr:uid="{4F7E1D1C-6C2F-45DB-B8FD-3AFE7BA2DD4C}"/>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2 2 2" xfId="17113" xr:uid="{9BA13F5C-0F8A-44DE-B35B-86E9A7868FBA}"/>
    <cellStyle name="Normal 5 3 3 2 2 2 3 2 3" xfId="12896" xr:uid="{CE1FD1E4-E309-45EE-9B31-35844A906D84}"/>
    <cellStyle name="Normal 5 3 3 2 2 2 3 3" xfId="5642" xr:uid="{00000000-0005-0000-0000-000080190000}"/>
    <cellStyle name="Normal 5 3 3 2 2 2 3 3 2" xfId="14968" xr:uid="{CD0F1073-FABC-43D8-9B17-21BC17B00FE7}"/>
    <cellStyle name="Normal 5 3 3 2 2 2 3 4" xfId="10751" xr:uid="{7A548110-B254-402F-AA5E-EE25E5194C22}"/>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2 2 2" xfId="17526" xr:uid="{69E30A3B-42B5-41B2-8FF7-8E5AF35779A5}"/>
    <cellStyle name="Normal 5 3 3 2 2 2 4 2 3" xfId="13309" xr:uid="{622430C9-A9F4-4CBB-B9EF-5B51CB6F8F26}"/>
    <cellStyle name="Normal 5 3 3 2 2 2 4 3" xfId="6055" xr:uid="{00000000-0005-0000-0000-000084190000}"/>
    <cellStyle name="Normal 5 3 3 2 2 2 4 3 2" xfId="15381" xr:uid="{9D55D511-01EE-4EE6-B79F-F76649EA84C7}"/>
    <cellStyle name="Normal 5 3 3 2 2 2 4 4" xfId="11164" xr:uid="{725C7349-D321-4EB1-94EB-D2599A1D8D2E}"/>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2 2 2" xfId="17939" xr:uid="{96553AE5-CBE2-4314-BC32-362F8474A9D6}"/>
    <cellStyle name="Normal 5 3 3 2 2 2 5 2 3" xfId="13722" xr:uid="{41E4EF09-5B50-4A01-99E6-592C2DB5A843}"/>
    <cellStyle name="Normal 5 3 3 2 2 2 5 3" xfId="6468" xr:uid="{00000000-0005-0000-0000-000088190000}"/>
    <cellStyle name="Normal 5 3 3 2 2 2 5 3 2" xfId="15794" xr:uid="{AF775F97-361D-4679-8B3E-D19C17D5040C}"/>
    <cellStyle name="Normal 5 3 3 2 2 2 5 4" xfId="11577" xr:uid="{6BCA3C5F-0295-4819-B280-3D348F59202D}"/>
    <cellStyle name="Normal 5 3 3 2 2 2 6" xfId="2598" xr:uid="{00000000-0005-0000-0000-000089190000}"/>
    <cellStyle name="Normal 5 3 3 2 2 2 6 2" xfId="6881" xr:uid="{00000000-0005-0000-0000-00008A190000}"/>
    <cellStyle name="Normal 5 3 3 2 2 2 6 2 2" xfId="16207" xr:uid="{ABE1E618-BCA9-44F7-BE45-C8810EFF16E1}"/>
    <cellStyle name="Normal 5 3 3 2 2 2 6 3" xfId="11990" xr:uid="{C4248AFB-0650-4535-937A-AEF9ECC84F2D}"/>
    <cellStyle name="Normal 5 3 3 2 2 2 7" xfId="4816" xr:uid="{00000000-0005-0000-0000-00008B190000}"/>
    <cellStyle name="Normal 5 3 3 2 2 2 7 2" xfId="14142" xr:uid="{DB6B8E5B-590E-4BE1-ACC9-3387514D11B3}"/>
    <cellStyle name="Normal 5 3 3 2 2 2 8" xfId="9142" xr:uid="{81CF9711-3A0B-4712-8E8F-033C974AA9E3}"/>
    <cellStyle name="Normal 5 3 3 2 2 2 8 2" xfId="18466" xr:uid="{44B06487-9437-4E3D-8C57-F4004DA0B73C}"/>
    <cellStyle name="Normal 5 3 3 2 2 2 9" xfId="9925" xr:uid="{468A31C4-801F-4E45-AAB6-9F5D4D723358}"/>
    <cellStyle name="Normal 5 3 3 2 2 3" xfId="917" xr:uid="{00000000-0005-0000-0000-00008C190000}"/>
    <cellStyle name="Normal 5 3 3 2 2 3 2" xfId="3151" xr:uid="{00000000-0005-0000-0000-00008D190000}"/>
    <cellStyle name="Normal 5 3 3 2 2 3 2 2" xfId="7373" xr:uid="{00000000-0005-0000-0000-00008E190000}"/>
    <cellStyle name="Normal 5 3 3 2 2 3 2 2 2" xfId="16699" xr:uid="{2F727571-5A4D-4B46-BF85-FACA091D4728}"/>
    <cellStyle name="Normal 5 3 3 2 2 3 2 3" xfId="12482" xr:uid="{C9D2D293-C36D-4ADA-AFC6-11B8928CDAD3}"/>
    <cellStyle name="Normal 5 3 3 2 2 3 3" xfId="5228" xr:uid="{00000000-0005-0000-0000-00008F190000}"/>
    <cellStyle name="Normal 5 3 3 2 2 3 3 2" xfId="14554" xr:uid="{705AC3B3-F4DF-492A-A1CA-E4A9A23532E6}"/>
    <cellStyle name="Normal 5 3 3 2 2 3 4" xfId="9360" xr:uid="{07447062-3C9B-4A41-BE9D-50DE495FF588}"/>
    <cellStyle name="Normal 5 3 3 2 2 3 4 2" xfId="18675" xr:uid="{72727E35-F2E4-460B-9512-884B3AEC8E46}"/>
    <cellStyle name="Normal 5 3 3 2 2 3 5" xfId="10337" xr:uid="{114F0AA7-2967-4610-947D-C4F85E370686}"/>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2 2 2" xfId="17112" xr:uid="{94C74F0E-1C89-48A9-B658-0581595BFC05}"/>
    <cellStyle name="Normal 5 3 3 2 2 4 2 3" xfId="12895" xr:uid="{BF949F92-552E-4913-8081-EF87D4E54B50}"/>
    <cellStyle name="Normal 5 3 3 2 2 4 3" xfId="5641" xr:uid="{00000000-0005-0000-0000-000093190000}"/>
    <cellStyle name="Normal 5 3 3 2 2 4 3 2" xfId="14967" xr:uid="{17BB02C7-C814-47A0-982D-063503FB2E95}"/>
    <cellStyle name="Normal 5 3 3 2 2 4 4" xfId="10750" xr:uid="{DBC9D4BE-4AC9-4B7F-A670-71275C94E0A1}"/>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2 2 2" xfId="17525" xr:uid="{DCB13269-F947-45D5-96A0-464A10B88396}"/>
    <cellStyle name="Normal 5 3 3 2 2 5 2 3" xfId="13308" xr:uid="{044FFE82-E6EC-43F9-84AC-3AD594007E6B}"/>
    <cellStyle name="Normal 5 3 3 2 2 5 3" xfId="6054" xr:uid="{00000000-0005-0000-0000-000097190000}"/>
    <cellStyle name="Normal 5 3 3 2 2 5 3 2" xfId="15380" xr:uid="{6643ABCE-C4BF-4706-84BB-AB459922AA75}"/>
    <cellStyle name="Normal 5 3 3 2 2 5 4" xfId="11163" xr:uid="{F701DEDB-8555-46CC-AC6E-5CAA5AE74EF8}"/>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2 2 2" xfId="17938" xr:uid="{F9C3D2CD-D347-4A8A-BAC7-CC67AC572CF7}"/>
    <cellStyle name="Normal 5 3 3 2 2 6 2 3" xfId="13721" xr:uid="{240ADDDE-7B05-4838-AB63-202A6F5DDEC2}"/>
    <cellStyle name="Normal 5 3 3 2 2 6 3" xfId="6467" xr:uid="{00000000-0005-0000-0000-00009B190000}"/>
    <cellStyle name="Normal 5 3 3 2 2 6 3 2" xfId="15793" xr:uid="{2DA77FE1-AB3A-438A-955B-F4D9C1ADF50E}"/>
    <cellStyle name="Normal 5 3 3 2 2 6 4" xfId="11576" xr:uid="{C0634BB7-9001-4526-A065-7EF6F1FE66E8}"/>
    <cellStyle name="Normal 5 3 3 2 2 7" xfId="2597" xr:uid="{00000000-0005-0000-0000-00009C190000}"/>
    <cellStyle name="Normal 5 3 3 2 2 7 2" xfId="6880" xr:uid="{00000000-0005-0000-0000-00009D190000}"/>
    <cellStyle name="Normal 5 3 3 2 2 7 2 2" xfId="16206" xr:uid="{AF5DA7DE-1FAC-4422-9FFF-872E73625A6E}"/>
    <cellStyle name="Normal 5 3 3 2 2 7 3" xfId="11989" xr:uid="{29AF5F02-0AC8-47A1-9191-1CC7B63A7FDC}"/>
    <cellStyle name="Normal 5 3 3 2 2 8" xfId="4815" xr:uid="{00000000-0005-0000-0000-00009E190000}"/>
    <cellStyle name="Normal 5 3 3 2 2 8 2" xfId="14141" xr:uid="{94E330FA-326A-4050-B658-5C90E9085632}"/>
    <cellStyle name="Normal 5 3 3 2 2 9" xfId="8935" xr:uid="{94B8766B-0DD5-4CC7-9403-D37FC711344B}"/>
    <cellStyle name="Normal 5 3 3 2 2 9 2" xfId="18259" xr:uid="{79D95953-F7BF-42DB-9137-E31658ECD669}"/>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2 2 2" xfId="16701" xr:uid="{C3D19E74-D700-462C-AE2C-21AE38C13015}"/>
    <cellStyle name="Normal 5 3 3 2 3 2 2 3" xfId="12484" xr:uid="{1036D338-4F0E-4062-AAB8-0B663BCD0D25}"/>
    <cellStyle name="Normal 5 3 3 2 3 2 3" xfId="5230" xr:uid="{00000000-0005-0000-0000-0000A3190000}"/>
    <cellStyle name="Normal 5 3 3 2 3 2 3 2" xfId="14556" xr:uid="{8C4C0EFA-F449-433D-8764-3D7FC51FC8E6}"/>
    <cellStyle name="Normal 5 3 3 2 3 2 4" xfId="9464" xr:uid="{6A182EEF-0879-47AD-839A-17D560B4AF3D}"/>
    <cellStyle name="Normal 5 3 3 2 3 2 4 2" xfId="18779" xr:uid="{B3AC9D79-737E-4C49-A44C-4C22412FBFD8}"/>
    <cellStyle name="Normal 5 3 3 2 3 2 5" xfId="10339" xr:uid="{35ACA704-39AC-4EFA-ACD5-2F15426A154F}"/>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2 2 2" xfId="17114" xr:uid="{0D6C65F9-5845-42D6-8F99-B545BCC0846B}"/>
    <cellStyle name="Normal 5 3 3 2 3 3 2 3" xfId="12897" xr:uid="{D915EC26-5FAD-4EC7-BA0D-3D104D40D8A7}"/>
    <cellStyle name="Normal 5 3 3 2 3 3 3" xfId="5643" xr:uid="{00000000-0005-0000-0000-0000A7190000}"/>
    <cellStyle name="Normal 5 3 3 2 3 3 3 2" xfId="14969" xr:uid="{0D857121-8C43-4930-975B-DF6B641BCE0B}"/>
    <cellStyle name="Normal 5 3 3 2 3 3 4" xfId="10752" xr:uid="{7CD655F5-AEFC-4219-A0ED-BF84DD86135C}"/>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2 2 2" xfId="17527" xr:uid="{198BE8D3-9C28-4EA3-88EB-FC695655D94E}"/>
    <cellStyle name="Normal 5 3 3 2 3 4 2 3" xfId="13310" xr:uid="{01258DC9-51E0-4DBA-916D-694AA0FA0329}"/>
    <cellStyle name="Normal 5 3 3 2 3 4 3" xfId="6056" xr:uid="{00000000-0005-0000-0000-0000AB190000}"/>
    <cellStyle name="Normal 5 3 3 2 3 4 3 2" xfId="15382" xr:uid="{A9A3D3CD-E7F1-4269-A75B-6F99AF168804}"/>
    <cellStyle name="Normal 5 3 3 2 3 4 4" xfId="11165" xr:uid="{CB382E0C-4539-43D0-A133-14D2F52FE3AA}"/>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2 2 2" xfId="17940" xr:uid="{7A963C4D-DAEB-4040-96D5-486192089DB5}"/>
    <cellStyle name="Normal 5 3 3 2 3 5 2 3" xfId="13723" xr:uid="{E5CD6C16-C708-4BA9-B7C3-8578618203A2}"/>
    <cellStyle name="Normal 5 3 3 2 3 5 3" xfId="6469" xr:uid="{00000000-0005-0000-0000-0000AF190000}"/>
    <cellStyle name="Normal 5 3 3 2 3 5 3 2" xfId="15795" xr:uid="{50D69061-DF12-4F67-884B-F8B336CF053B}"/>
    <cellStyle name="Normal 5 3 3 2 3 5 4" xfId="11578" xr:uid="{94DB0642-394B-422D-8896-B7814EA922DE}"/>
    <cellStyle name="Normal 5 3 3 2 3 6" xfId="2599" xr:uid="{00000000-0005-0000-0000-0000B0190000}"/>
    <cellStyle name="Normal 5 3 3 2 3 6 2" xfId="6882" xr:uid="{00000000-0005-0000-0000-0000B1190000}"/>
    <cellStyle name="Normal 5 3 3 2 3 6 2 2" xfId="16208" xr:uid="{861B3C5D-D32E-4F39-A2BE-E14682035C23}"/>
    <cellStyle name="Normal 5 3 3 2 3 6 3" xfId="11991" xr:uid="{952F51D4-FBA0-4434-8C59-53DF50A10EEA}"/>
    <cellStyle name="Normal 5 3 3 2 3 7" xfId="4817" xr:uid="{00000000-0005-0000-0000-0000B2190000}"/>
    <cellStyle name="Normal 5 3 3 2 3 7 2" xfId="14143" xr:uid="{43C00CDF-2ADD-4894-8E3B-44E68618FD07}"/>
    <cellStyle name="Normal 5 3 3 2 3 8" xfId="9039" xr:uid="{84D80CE6-A0CA-4841-8673-26EA7EC6806D}"/>
    <cellStyle name="Normal 5 3 3 2 3 8 2" xfId="18363" xr:uid="{2802FC10-1CA3-4C03-954A-949F867BED9F}"/>
    <cellStyle name="Normal 5 3 3 2 3 9" xfId="9926" xr:uid="{81C8979C-8586-42BB-971E-7BAB3EA111BB}"/>
    <cellStyle name="Normal 5 3 3 2 4" xfId="916" xr:uid="{00000000-0005-0000-0000-0000B3190000}"/>
    <cellStyle name="Normal 5 3 3 2 4 2" xfId="3150" xr:uid="{00000000-0005-0000-0000-0000B4190000}"/>
    <cellStyle name="Normal 5 3 3 2 4 2 2" xfId="7372" xr:uid="{00000000-0005-0000-0000-0000B5190000}"/>
    <cellStyle name="Normal 5 3 3 2 4 2 2 2" xfId="16698" xr:uid="{EDABA369-455A-46B6-B88F-9AB0E2ABC12A}"/>
    <cellStyle name="Normal 5 3 3 2 4 2 3" xfId="12481" xr:uid="{CB435F1D-FE78-4365-9D71-479A812A7E9D}"/>
    <cellStyle name="Normal 5 3 3 2 4 3" xfId="5227" xr:uid="{00000000-0005-0000-0000-0000B6190000}"/>
    <cellStyle name="Normal 5 3 3 2 4 3 2" xfId="14553" xr:uid="{457BF23E-7B2A-498B-8883-D55BB48FE23B}"/>
    <cellStyle name="Normal 5 3 3 2 4 4" xfId="9257" xr:uid="{E6656214-6E5B-491F-B1E3-227CB6568726}"/>
    <cellStyle name="Normal 5 3 3 2 4 4 2" xfId="18572" xr:uid="{2794FA38-FB67-4CF7-9C29-2A55814C3753}"/>
    <cellStyle name="Normal 5 3 3 2 4 5" xfId="10336" xr:uid="{4E9D3E4B-35E3-4F47-94B6-4D8FE0482A5C}"/>
    <cellStyle name="Normal 5 3 3 2 5" xfId="1333" xr:uid="{00000000-0005-0000-0000-0000B7190000}"/>
    <cellStyle name="Normal 5 3 3 2 5 2" xfId="3563" xr:uid="{00000000-0005-0000-0000-0000B8190000}"/>
    <cellStyle name="Normal 5 3 3 2 5 2 2" xfId="7785" xr:uid="{00000000-0005-0000-0000-0000B9190000}"/>
    <cellStyle name="Normal 5 3 3 2 5 2 2 2" xfId="17111" xr:uid="{13CF7775-71C9-4ECF-9657-283224EFD6BF}"/>
    <cellStyle name="Normal 5 3 3 2 5 2 3" xfId="12894" xr:uid="{377BAD5F-C6A3-4AB8-97DA-83164404F2CF}"/>
    <cellStyle name="Normal 5 3 3 2 5 3" xfId="5640" xr:uid="{00000000-0005-0000-0000-0000BA190000}"/>
    <cellStyle name="Normal 5 3 3 2 5 3 2" xfId="14966" xr:uid="{3B8C571D-53E7-4AE1-9FBF-9CCBA300D0F3}"/>
    <cellStyle name="Normal 5 3 3 2 5 4" xfId="10749" xr:uid="{E5AAA7CB-9178-4BAC-B8C8-85B889F53D29}"/>
    <cellStyle name="Normal 5 3 3 2 6" xfId="1746" xr:uid="{00000000-0005-0000-0000-0000BB190000}"/>
    <cellStyle name="Normal 5 3 3 2 6 2" xfId="3976" xr:uid="{00000000-0005-0000-0000-0000BC190000}"/>
    <cellStyle name="Normal 5 3 3 2 6 2 2" xfId="8198" xr:uid="{00000000-0005-0000-0000-0000BD190000}"/>
    <cellStyle name="Normal 5 3 3 2 6 2 2 2" xfId="17524" xr:uid="{25092207-D797-444A-AE2D-5EE5A6D4E497}"/>
    <cellStyle name="Normal 5 3 3 2 6 2 3" xfId="13307" xr:uid="{2A055D44-435B-4539-8103-447216D12232}"/>
    <cellStyle name="Normal 5 3 3 2 6 3" xfId="6053" xr:uid="{00000000-0005-0000-0000-0000BE190000}"/>
    <cellStyle name="Normal 5 3 3 2 6 3 2" xfId="15379" xr:uid="{25BA7049-EE86-4E6D-ACDD-89F82542DF6C}"/>
    <cellStyle name="Normal 5 3 3 2 6 4" xfId="11162" xr:uid="{D2C28CEA-B499-4CFB-8DCE-C9AD71C85266}"/>
    <cellStyle name="Normal 5 3 3 2 7" xfId="2160" xr:uid="{00000000-0005-0000-0000-0000BF190000}"/>
    <cellStyle name="Normal 5 3 3 2 7 2" xfId="4389" xr:uid="{00000000-0005-0000-0000-0000C0190000}"/>
    <cellStyle name="Normal 5 3 3 2 7 2 2" xfId="8611" xr:uid="{00000000-0005-0000-0000-0000C1190000}"/>
    <cellStyle name="Normal 5 3 3 2 7 2 2 2" xfId="17937" xr:uid="{EFEB4CE6-A1E9-4566-90EE-5D00AD1E7B62}"/>
    <cellStyle name="Normal 5 3 3 2 7 2 3" xfId="13720" xr:uid="{D0E04CB3-8F56-499A-BBCA-94865BE69F32}"/>
    <cellStyle name="Normal 5 3 3 2 7 3" xfId="6466" xr:uid="{00000000-0005-0000-0000-0000C2190000}"/>
    <cellStyle name="Normal 5 3 3 2 7 3 2" xfId="15792" xr:uid="{B7E1AC0D-2074-412A-8FB3-6B68D7EF07AA}"/>
    <cellStyle name="Normal 5 3 3 2 7 4" xfId="11575" xr:uid="{CE46742E-0B8F-4968-B8D3-F6F338903508}"/>
    <cellStyle name="Normal 5 3 3 2 8" xfId="2596" xr:uid="{00000000-0005-0000-0000-0000C3190000}"/>
    <cellStyle name="Normal 5 3 3 2 8 2" xfId="6879" xr:uid="{00000000-0005-0000-0000-0000C4190000}"/>
    <cellStyle name="Normal 5 3 3 2 8 2 2" xfId="16205" xr:uid="{C49BF1C6-4006-472B-81E2-5D957102504E}"/>
    <cellStyle name="Normal 5 3 3 2 8 3" xfId="11988" xr:uid="{F79E1BFA-B4F3-4161-8EE1-9C97E7AEDA7F}"/>
    <cellStyle name="Normal 5 3 3 2 9" xfId="4814" xr:uid="{00000000-0005-0000-0000-0000C5190000}"/>
    <cellStyle name="Normal 5 3 3 2 9 2" xfId="14140" xr:uid="{3C36C748-B88D-48B4-BB9E-21D7A570A4D0}"/>
    <cellStyle name="Normal 5 3 3 3" xfId="446" xr:uid="{00000000-0005-0000-0000-0000C6190000}"/>
    <cellStyle name="Normal 5 3 3 3 10" xfId="9927" xr:uid="{5AEF1858-688A-4F99-B6AF-CE8B8864C032}"/>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2 2 2" xfId="16703" xr:uid="{3C27AA0A-FAD8-408D-929A-4EFF378F00D1}"/>
    <cellStyle name="Normal 5 3 3 3 2 2 2 3" xfId="12486" xr:uid="{55B44CA9-BC9A-4D69-AAD0-732311C3AB15}"/>
    <cellStyle name="Normal 5 3 3 3 2 2 3" xfId="5232" xr:uid="{00000000-0005-0000-0000-0000CB190000}"/>
    <cellStyle name="Normal 5 3 3 3 2 2 3 2" xfId="14558" xr:uid="{5495D37E-5077-44FA-9A27-06F2EA3A56D9}"/>
    <cellStyle name="Normal 5 3 3 3 2 2 4" xfId="9517" xr:uid="{EA62A3B1-8ED5-4A6F-ACE0-B924BC16AA9E}"/>
    <cellStyle name="Normal 5 3 3 3 2 2 4 2" xfId="18832" xr:uid="{6F256210-76F0-429A-B374-4FA8E123B0A4}"/>
    <cellStyle name="Normal 5 3 3 3 2 2 5" xfId="10341" xr:uid="{49C8BF22-4111-45D3-A924-64F86C746163}"/>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2 2 2" xfId="17116" xr:uid="{46B8FAF4-B6B4-4E81-9A08-A4DC6BA1B2D2}"/>
    <cellStyle name="Normal 5 3 3 3 2 3 2 3" xfId="12899" xr:uid="{ABDE06E7-AE8E-4A46-BD6F-68A5BA8893AC}"/>
    <cellStyle name="Normal 5 3 3 3 2 3 3" xfId="5645" xr:uid="{00000000-0005-0000-0000-0000CF190000}"/>
    <cellStyle name="Normal 5 3 3 3 2 3 3 2" xfId="14971" xr:uid="{1CAA3837-A01C-40D1-862A-A27CF78AC0B5}"/>
    <cellStyle name="Normal 5 3 3 3 2 3 4" xfId="10754" xr:uid="{715DB2A4-3FC6-4E9F-829A-405AA4C197FC}"/>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2 2 2" xfId="17529" xr:uid="{431A2DA2-5C36-4854-8C9D-E3E912D678E9}"/>
    <cellStyle name="Normal 5 3 3 3 2 4 2 3" xfId="13312" xr:uid="{DE1092EC-6617-49E6-B184-D4FE068C7A0D}"/>
    <cellStyle name="Normal 5 3 3 3 2 4 3" xfId="6058" xr:uid="{00000000-0005-0000-0000-0000D3190000}"/>
    <cellStyle name="Normal 5 3 3 3 2 4 3 2" xfId="15384" xr:uid="{A9C856A6-F27D-4675-ADFE-584AEE1C98B3}"/>
    <cellStyle name="Normal 5 3 3 3 2 4 4" xfId="11167" xr:uid="{4D6E2BF2-4534-467A-AB8D-920BF8D6A68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2 2 2" xfId="17942" xr:uid="{9DED854F-F60F-4188-A259-2FC83FCA4D9B}"/>
    <cellStyle name="Normal 5 3 3 3 2 5 2 3" xfId="13725" xr:uid="{22C01372-99A1-4A2C-A931-C769C9F78EBA}"/>
    <cellStyle name="Normal 5 3 3 3 2 5 3" xfId="6471" xr:uid="{00000000-0005-0000-0000-0000D7190000}"/>
    <cellStyle name="Normal 5 3 3 3 2 5 3 2" xfId="15797" xr:uid="{FD7E8F61-BCA2-4830-91C0-5F3AB5D2E32B}"/>
    <cellStyle name="Normal 5 3 3 3 2 5 4" xfId="11580" xr:uid="{F7240695-6542-4B33-BF98-844E19C9F009}"/>
    <cellStyle name="Normal 5 3 3 3 2 6" xfId="2601" xr:uid="{00000000-0005-0000-0000-0000D8190000}"/>
    <cellStyle name="Normal 5 3 3 3 2 6 2" xfId="6884" xr:uid="{00000000-0005-0000-0000-0000D9190000}"/>
    <cellStyle name="Normal 5 3 3 3 2 6 2 2" xfId="16210" xr:uid="{B612B74A-79CA-4C35-B83C-20F9D59D9031}"/>
    <cellStyle name="Normal 5 3 3 3 2 6 3" xfId="11993" xr:uid="{BBF97A95-6FF3-4867-83B6-C5BD94AA2965}"/>
    <cellStyle name="Normal 5 3 3 3 2 7" xfId="4819" xr:uid="{00000000-0005-0000-0000-0000DA190000}"/>
    <cellStyle name="Normal 5 3 3 3 2 7 2" xfId="14145" xr:uid="{0BEFF296-4006-416B-99BC-8DF09304D136}"/>
    <cellStyle name="Normal 5 3 3 3 2 8" xfId="9092" xr:uid="{A018BC5E-3880-4BA4-8CFB-322C89A13B5F}"/>
    <cellStyle name="Normal 5 3 3 3 2 8 2" xfId="18416" xr:uid="{8A59656C-648C-4BA0-8D23-3F9C14513796}"/>
    <cellStyle name="Normal 5 3 3 3 2 9" xfId="9928" xr:uid="{A3A61887-90D5-470D-8998-6B1DA4C8BD33}"/>
    <cellStyle name="Normal 5 3 3 3 3" xfId="920" xr:uid="{00000000-0005-0000-0000-0000DB190000}"/>
    <cellStyle name="Normal 5 3 3 3 3 2" xfId="3154" xr:uid="{00000000-0005-0000-0000-0000DC190000}"/>
    <cellStyle name="Normal 5 3 3 3 3 2 2" xfId="7376" xr:uid="{00000000-0005-0000-0000-0000DD190000}"/>
    <cellStyle name="Normal 5 3 3 3 3 2 2 2" xfId="16702" xr:uid="{4C551E47-FF76-44A6-B163-CC1174C08F6B}"/>
    <cellStyle name="Normal 5 3 3 3 3 2 3" xfId="12485" xr:uid="{1B4AB836-88DE-4207-BFB7-BA648717911B}"/>
    <cellStyle name="Normal 5 3 3 3 3 3" xfId="5231" xr:uid="{00000000-0005-0000-0000-0000DE190000}"/>
    <cellStyle name="Normal 5 3 3 3 3 3 2" xfId="14557" xr:uid="{766529D9-2910-4429-8743-815914AEDBBC}"/>
    <cellStyle name="Normal 5 3 3 3 3 4" xfId="9310" xr:uid="{D169C31A-17C5-4934-97DF-D90479FD2654}"/>
    <cellStyle name="Normal 5 3 3 3 3 4 2" xfId="18625" xr:uid="{58ED185F-0877-4AE3-904F-2C6971C54AC5}"/>
    <cellStyle name="Normal 5 3 3 3 3 5" xfId="10340" xr:uid="{5EC58289-26D1-4D10-9E4F-3C7CC2FCBA70}"/>
    <cellStyle name="Normal 5 3 3 3 4" xfId="1337" xr:uid="{00000000-0005-0000-0000-0000DF190000}"/>
    <cellStyle name="Normal 5 3 3 3 4 2" xfId="3567" xr:uid="{00000000-0005-0000-0000-0000E0190000}"/>
    <cellStyle name="Normal 5 3 3 3 4 2 2" xfId="7789" xr:uid="{00000000-0005-0000-0000-0000E1190000}"/>
    <cellStyle name="Normal 5 3 3 3 4 2 2 2" xfId="17115" xr:uid="{CDF13D76-B465-4B04-A7F6-4F02F0F3C6AA}"/>
    <cellStyle name="Normal 5 3 3 3 4 2 3" xfId="12898" xr:uid="{BFB54242-63B8-45E7-A7E2-C808BC0B7720}"/>
    <cellStyle name="Normal 5 3 3 3 4 3" xfId="5644" xr:uid="{00000000-0005-0000-0000-0000E2190000}"/>
    <cellStyle name="Normal 5 3 3 3 4 3 2" xfId="14970" xr:uid="{2C0CA5BE-9B58-4E62-8F56-44F33EA9D497}"/>
    <cellStyle name="Normal 5 3 3 3 4 4" xfId="10753" xr:uid="{C1AEEFC3-625C-49A5-9725-AA90DD864EE2}"/>
    <cellStyle name="Normal 5 3 3 3 5" xfId="1750" xr:uid="{00000000-0005-0000-0000-0000E3190000}"/>
    <cellStyle name="Normal 5 3 3 3 5 2" xfId="3980" xr:uid="{00000000-0005-0000-0000-0000E4190000}"/>
    <cellStyle name="Normal 5 3 3 3 5 2 2" xfId="8202" xr:uid="{00000000-0005-0000-0000-0000E5190000}"/>
    <cellStyle name="Normal 5 3 3 3 5 2 2 2" xfId="17528" xr:uid="{2A950527-E498-40B9-B92B-4ECF88C154E2}"/>
    <cellStyle name="Normal 5 3 3 3 5 2 3" xfId="13311" xr:uid="{55749D27-C5E3-4CC0-B1EE-762B29C7F754}"/>
    <cellStyle name="Normal 5 3 3 3 5 3" xfId="6057" xr:uid="{00000000-0005-0000-0000-0000E6190000}"/>
    <cellStyle name="Normal 5 3 3 3 5 3 2" xfId="15383" xr:uid="{B88CC34B-9960-46BC-B9CD-B0D183B1D189}"/>
    <cellStyle name="Normal 5 3 3 3 5 4" xfId="11166" xr:uid="{3E1EED91-B321-47C5-8721-1F22F6986E52}"/>
    <cellStyle name="Normal 5 3 3 3 6" xfId="2164" xr:uid="{00000000-0005-0000-0000-0000E7190000}"/>
    <cellStyle name="Normal 5 3 3 3 6 2" xfId="4393" xr:uid="{00000000-0005-0000-0000-0000E8190000}"/>
    <cellStyle name="Normal 5 3 3 3 6 2 2" xfId="8615" xr:uid="{00000000-0005-0000-0000-0000E9190000}"/>
    <cellStyle name="Normal 5 3 3 3 6 2 2 2" xfId="17941" xr:uid="{20566560-90B2-4CB3-84B7-2FF13D690C59}"/>
    <cellStyle name="Normal 5 3 3 3 6 2 3" xfId="13724" xr:uid="{E1ECC2B1-16E1-40A6-9544-237A297BA9E7}"/>
    <cellStyle name="Normal 5 3 3 3 6 3" xfId="6470" xr:uid="{00000000-0005-0000-0000-0000EA190000}"/>
    <cellStyle name="Normal 5 3 3 3 6 3 2" xfId="15796" xr:uid="{7FC39A94-8EF0-4AD1-AF83-158651737929}"/>
    <cellStyle name="Normal 5 3 3 3 6 4" xfId="11579" xr:uid="{A90401EC-C813-446B-A24A-DE033B1AEFD9}"/>
    <cellStyle name="Normal 5 3 3 3 7" xfId="2600" xr:uid="{00000000-0005-0000-0000-0000EB190000}"/>
    <cellStyle name="Normal 5 3 3 3 7 2" xfId="6883" xr:uid="{00000000-0005-0000-0000-0000EC190000}"/>
    <cellStyle name="Normal 5 3 3 3 7 2 2" xfId="16209" xr:uid="{C27435A3-C50F-4D01-8A9F-80F7543C514D}"/>
    <cellStyle name="Normal 5 3 3 3 7 3" xfId="11992" xr:uid="{4D0BE934-9CFC-417A-8B3A-297BAC0CD0DE}"/>
    <cellStyle name="Normal 5 3 3 3 8" xfId="4818" xr:uid="{00000000-0005-0000-0000-0000ED190000}"/>
    <cellStyle name="Normal 5 3 3 3 8 2" xfId="14144" xr:uid="{A3698EF3-2BE1-4519-A857-517BD079FB3C}"/>
    <cellStyle name="Normal 5 3 3 3 9" xfId="8885" xr:uid="{BFA59703-C126-4DE9-A819-9190501D5C5B}"/>
    <cellStyle name="Normal 5 3 3 3 9 2" xfId="18209" xr:uid="{BD05FC49-B5C2-4CED-AD61-50DCAE33F6B5}"/>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2 2 2" xfId="16704" xr:uid="{03E8C606-0987-4388-B60B-8F725EC3F6CC}"/>
    <cellStyle name="Normal 5 3 3 4 2 2 3" xfId="12487" xr:uid="{0C854C21-6A65-41F7-9299-BCF35C57F137}"/>
    <cellStyle name="Normal 5 3 3 4 2 3" xfId="5233" xr:uid="{00000000-0005-0000-0000-0000F2190000}"/>
    <cellStyle name="Normal 5 3 3 4 2 3 2" xfId="14559" xr:uid="{09048E0B-987A-4AA8-8508-A74292177B2A}"/>
    <cellStyle name="Normal 5 3 3 4 2 4" xfId="9414" xr:uid="{BD781A4C-FDA7-4D11-87F3-3D38EC19B37A}"/>
    <cellStyle name="Normal 5 3 3 4 2 4 2" xfId="18729" xr:uid="{2E47C4DA-7D61-4D86-B1CC-2D4A979A71A1}"/>
    <cellStyle name="Normal 5 3 3 4 2 5" xfId="10342" xr:uid="{19ACA438-85BE-4C34-85D0-6E58FE7BD45F}"/>
    <cellStyle name="Normal 5 3 3 4 3" xfId="1339" xr:uid="{00000000-0005-0000-0000-0000F3190000}"/>
    <cellStyle name="Normal 5 3 3 4 3 2" xfId="3569" xr:uid="{00000000-0005-0000-0000-0000F4190000}"/>
    <cellStyle name="Normal 5 3 3 4 3 2 2" xfId="7791" xr:uid="{00000000-0005-0000-0000-0000F5190000}"/>
    <cellStyle name="Normal 5 3 3 4 3 2 2 2" xfId="17117" xr:uid="{A0B18257-8AFA-4041-BDB6-146CC68E9457}"/>
    <cellStyle name="Normal 5 3 3 4 3 2 3" xfId="12900" xr:uid="{0FB0207F-A808-4A3D-9830-E5D1E45D7075}"/>
    <cellStyle name="Normal 5 3 3 4 3 3" xfId="5646" xr:uid="{00000000-0005-0000-0000-0000F6190000}"/>
    <cellStyle name="Normal 5 3 3 4 3 3 2" xfId="14972" xr:uid="{C0EB088B-47CD-4FD5-91C2-994DB59F03DD}"/>
    <cellStyle name="Normal 5 3 3 4 3 4" xfId="10755" xr:uid="{68C7887E-650E-415A-B210-3A9F947008AA}"/>
    <cellStyle name="Normal 5 3 3 4 4" xfId="1752" xr:uid="{00000000-0005-0000-0000-0000F7190000}"/>
    <cellStyle name="Normal 5 3 3 4 4 2" xfId="3982" xr:uid="{00000000-0005-0000-0000-0000F8190000}"/>
    <cellStyle name="Normal 5 3 3 4 4 2 2" xfId="8204" xr:uid="{00000000-0005-0000-0000-0000F9190000}"/>
    <cellStyle name="Normal 5 3 3 4 4 2 2 2" xfId="17530" xr:uid="{40CD4231-3648-4C2D-8E80-3189FBE2A579}"/>
    <cellStyle name="Normal 5 3 3 4 4 2 3" xfId="13313" xr:uid="{E049D2BF-3F8E-4604-A086-9C4B126C8C22}"/>
    <cellStyle name="Normal 5 3 3 4 4 3" xfId="6059" xr:uid="{00000000-0005-0000-0000-0000FA190000}"/>
    <cellStyle name="Normal 5 3 3 4 4 3 2" xfId="15385" xr:uid="{11901460-9D4F-4493-83A2-09E688518D76}"/>
    <cellStyle name="Normal 5 3 3 4 4 4" xfId="11168" xr:uid="{FF613DD9-66FC-45D5-BC1D-32F055890922}"/>
    <cellStyle name="Normal 5 3 3 4 5" xfId="2166" xr:uid="{00000000-0005-0000-0000-0000FB190000}"/>
    <cellStyle name="Normal 5 3 3 4 5 2" xfId="4395" xr:uid="{00000000-0005-0000-0000-0000FC190000}"/>
    <cellStyle name="Normal 5 3 3 4 5 2 2" xfId="8617" xr:uid="{00000000-0005-0000-0000-0000FD190000}"/>
    <cellStyle name="Normal 5 3 3 4 5 2 2 2" xfId="17943" xr:uid="{0E6B4715-B8AF-4DE3-BE4C-149CFDC47603}"/>
    <cellStyle name="Normal 5 3 3 4 5 2 3" xfId="13726" xr:uid="{5678AA10-E4BA-4899-A0E0-F8D2B269FE08}"/>
    <cellStyle name="Normal 5 3 3 4 5 3" xfId="6472" xr:uid="{00000000-0005-0000-0000-0000FE190000}"/>
    <cellStyle name="Normal 5 3 3 4 5 3 2" xfId="15798" xr:uid="{FF61F28E-2CFE-485F-BD26-D001984973BF}"/>
    <cellStyle name="Normal 5 3 3 4 5 4" xfId="11581" xr:uid="{DAB72679-FB54-449F-9FDF-13955074CE9F}"/>
    <cellStyle name="Normal 5 3 3 4 6" xfId="2602" xr:uid="{00000000-0005-0000-0000-0000FF190000}"/>
    <cellStyle name="Normal 5 3 3 4 6 2" xfId="6885" xr:uid="{00000000-0005-0000-0000-0000001A0000}"/>
    <cellStyle name="Normal 5 3 3 4 6 2 2" xfId="16211" xr:uid="{56D9CEED-8621-40FB-A5AA-890D1ADCC3F0}"/>
    <cellStyle name="Normal 5 3 3 4 6 3" xfId="11994" xr:uid="{B038EC2D-5D72-4F0B-AA7C-2A67BF77282B}"/>
    <cellStyle name="Normal 5 3 3 4 7" xfId="4820" xr:uid="{00000000-0005-0000-0000-0000011A0000}"/>
    <cellStyle name="Normal 5 3 3 4 7 2" xfId="14146" xr:uid="{E7401B3B-7729-47D5-8439-564826024B3C}"/>
    <cellStyle name="Normal 5 3 3 4 8" xfId="8989" xr:uid="{20FA1483-98E6-46C4-B00B-4EAF7957981D}"/>
    <cellStyle name="Normal 5 3 3 4 8 2" xfId="18313" xr:uid="{C9140B38-B54A-40E8-B0A9-D88891D5732A}"/>
    <cellStyle name="Normal 5 3 3 4 9" xfId="9929" xr:uid="{3F9E4FED-9332-40DE-991C-3BE674BB17DD}"/>
    <cellStyle name="Normal 5 3 3 5" xfId="915" xr:uid="{00000000-0005-0000-0000-0000021A0000}"/>
    <cellStyle name="Normal 5 3 3 5 2" xfId="3149" xr:uid="{00000000-0005-0000-0000-0000031A0000}"/>
    <cellStyle name="Normal 5 3 3 5 2 2" xfId="7371" xr:uid="{00000000-0005-0000-0000-0000041A0000}"/>
    <cellStyle name="Normal 5 3 3 5 2 2 2" xfId="16697" xr:uid="{189AD649-7583-4CDF-9E9F-6940467DE60D}"/>
    <cellStyle name="Normal 5 3 3 5 2 3" xfId="12480" xr:uid="{43024431-736B-4065-93CF-4971A87498F9}"/>
    <cellStyle name="Normal 5 3 3 5 3" xfId="5226" xr:uid="{00000000-0005-0000-0000-0000051A0000}"/>
    <cellStyle name="Normal 5 3 3 5 3 2" xfId="14552" xr:uid="{B7E0F508-103A-429B-9407-F6C8651464F5}"/>
    <cellStyle name="Normal 5 3 3 5 4" xfId="9206" xr:uid="{CA749CBB-EAB5-483B-862D-D7B95A23D45C}"/>
    <cellStyle name="Normal 5 3 3 5 4 2" xfId="18522" xr:uid="{06041AF3-3A2A-4F5D-AA76-CF7001AAC7FD}"/>
    <cellStyle name="Normal 5 3 3 5 5" xfId="10335" xr:uid="{A7157AEC-5EA6-44C2-AD3F-4270829E1EAE}"/>
    <cellStyle name="Normal 5 3 3 6" xfId="1332" xr:uid="{00000000-0005-0000-0000-0000061A0000}"/>
    <cellStyle name="Normal 5 3 3 6 2" xfId="3562" xr:uid="{00000000-0005-0000-0000-0000071A0000}"/>
    <cellStyle name="Normal 5 3 3 6 2 2" xfId="7784" xr:uid="{00000000-0005-0000-0000-0000081A0000}"/>
    <cellStyle name="Normal 5 3 3 6 2 2 2" xfId="17110" xr:uid="{869213DC-FCC3-4F04-84B6-32A0D8C23CCC}"/>
    <cellStyle name="Normal 5 3 3 6 2 3" xfId="12893" xr:uid="{668374DE-A682-49CA-855B-92E7F6C8F11A}"/>
    <cellStyle name="Normal 5 3 3 6 3" xfId="5639" xr:uid="{00000000-0005-0000-0000-0000091A0000}"/>
    <cellStyle name="Normal 5 3 3 6 3 2" xfId="14965" xr:uid="{7512D8C2-C69B-4243-9299-2DA65C9E6DA5}"/>
    <cellStyle name="Normal 5 3 3 6 4" xfId="10748" xr:uid="{3FD1885B-DCA8-4E68-BC4F-19B7D993B861}"/>
    <cellStyle name="Normal 5 3 3 7" xfId="1745" xr:uid="{00000000-0005-0000-0000-00000A1A0000}"/>
    <cellStyle name="Normal 5 3 3 7 2" xfId="3975" xr:uid="{00000000-0005-0000-0000-00000B1A0000}"/>
    <cellStyle name="Normal 5 3 3 7 2 2" xfId="8197" xr:uid="{00000000-0005-0000-0000-00000C1A0000}"/>
    <cellStyle name="Normal 5 3 3 7 2 2 2" xfId="17523" xr:uid="{61425AED-9DEA-4DFD-830C-2919C468E4A9}"/>
    <cellStyle name="Normal 5 3 3 7 2 3" xfId="13306" xr:uid="{F42CA7BF-F678-491F-B95B-345703F10AEF}"/>
    <cellStyle name="Normal 5 3 3 7 3" xfId="6052" xr:uid="{00000000-0005-0000-0000-00000D1A0000}"/>
    <cellStyle name="Normal 5 3 3 7 3 2" xfId="15378" xr:uid="{D9CE9168-3ADC-4C0D-A729-D8D8E74C12C2}"/>
    <cellStyle name="Normal 5 3 3 7 4" xfId="11161" xr:uid="{332847E5-D5AE-4A5A-AC7E-8508F5856BF0}"/>
    <cellStyle name="Normal 5 3 3 8" xfId="2159" xr:uid="{00000000-0005-0000-0000-00000E1A0000}"/>
    <cellStyle name="Normal 5 3 3 8 2" xfId="4388" xr:uid="{00000000-0005-0000-0000-00000F1A0000}"/>
    <cellStyle name="Normal 5 3 3 8 2 2" xfId="8610" xr:uid="{00000000-0005-0000-0000-0000101A0000}"/>
    <cellStyle name="Normal 5 3 3 8 2 2 2" xfId="17936" xr:uid="{CE20ECC9-6F25-48CC-8453-F6F7009E0C7F}"/>
    <cellStyle name="Normal 5 3 3 8 2 3" xfId="13719" xr:uid="{882D6945-32BB-4ED1-87E2-B852AEE24F39}"/>
    <cellStyle name="Normal 5 3 3 8 3" xfId="6465" xr:uid="{00000000-0005-0000-0000-0000111A0000}"/>
    <cellStyle name="Normal 5 3 3 8 3 2" xfId="15791" xr:uid="{AEEDD289-FB82-483F-9613-D8995844AD1F}"/>
    <cellStyle name="Normal 5 3 3 8 4" xfId="11574" xr:uid="{5D996BAC-8569-4BE0-88F2-C46E5C103ED4}"/>
    <cellStyle name="Normal 5 3 3 9" xfId="2595" xr:uid="{00000000-0005-0000-0000-0000121A0000}"/>
    <cellStyle name="Normal 5 3 3 9 2" xfId="6878" xr:uid="{00000000-0005-0000-0000-0000131A0000}"/>
    <cellStyle name="Normal 5 3 3 9 2 2" xfId="16204" xr:uid="{9738950D-EC84-4878-ABB5-C8500621DA61}"/>
    <cellStyle name="Normal 5 3 3 9 3" xfId="11987" xr:uid="{96C7CB76-D47B-4D34-90AE-525AE353ADC9}"/>
    <cellStyle name="Normal 5 3 4" xfId="449" xr:uid="{00000000-0005-0000-0000-0000141A0000}"/>
    <cellStyle name="Normal 5 3 4 10" xfId="8831" xr:uid="{39AD872D-FBC2-4C4A-B537-79F8014E4247}"/>
    <cellStyle name="Normal 5 3 4 10 2" xfId="18155" xr:uid="{B980C858-F1BB-4AA7-86B5-EB682EB78360}"/>
    <cellStyle name="Normal 5 3 4 11" xfId="9930" xr:uid="{56F313BE-9826-415D-A9AA-CDB087954D65}"/>
    <cellStyle name="Normal 5 3 4 2" xfId="450" xr:uid="{00000000-0005-0000-0000-0000151A0000}"/>
    <cellStyle name="Normal 5 3 4 2 10" xfId="9931" xr:uid="{6F6E76D0-3726-4C51-BFB4-A96A16609618}"/>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2 2 2" xfId="16707" xr:uid="{AB6CE652-7211-48BC-85D9-F6ECBF6FD954}"/>
    <cellStyle name="Normal 5 3 4 2 2 2 2 3" xfId="12490" xr:uid="{02DE24EA-2F46-4D1E-B87F-0B56F0990F0B}"/>
    <cellStyle name="Normal 5 3 4 2 2 2 3" xfId="5236" xr:uid="{00000000-0005-0000-0000-00001A1A0000}"/>
    <cellStyle name="Normal 5 3 4 2 2 2 3 2" xfId="14562" xr:uid="{F1DA70D6-BAE8-4935-A2F3-977668E1A83C}"/>
    <cellStyle name="Normal 5 3 4 2 2 2 4" xfId="9566" xr:uid="{D483C248-9680-462F-989C-42C712CD6EB7}"/>
    <cellStyle name="Normal 5 3 4 2 2 2 4 2" xfId="18881" xr:uid="{DBBD940E-6CBD-4613-9A0E-2FA94CC19C76}"/>
    <cellStyle name="Normal 5 3 4 2 2 2 5" xfId="10345" xr:uid="{35265D04-1CCC-48D4-908E-C2156746A321}"/>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2 2 2" xfId="17120" xr:uid="{C1BC97CE-E3F6-4E82-A249-D1C06C926255}"/>
    <cellStyle name="Normal 5 3 4 2 2 3 2 3" xfId="12903" xr:uid="{03C01A63-90A5-471A-B0FC-CCE4CF95A049}"/>
    <cellStyle name="Normal 5 3 4 2 2 3 3" xfId="5649" xr:uid="{00000000-0005-0000-0000-00001E1A0000}"/>
    <cellStyle name="Normal 5 3 4 2 2 3 3 2" xfId="14975" xr:uid="{5B4007D9-E57A-4E96-B137-50A2297F6487}"/>
    <cellStyle name="Normal 5 3 4 2 2 3 4" xfId="10758" xr:uid="{3D51AE74-2416-4CBF-A4A6-BBBAA393E418}"/>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2 2 2" xfId="17533" xr:uid="{38FEDF02-9262-4225-AD18-A79C9CB33A94}"/>
    <cellStyle name="Normal 5 3 4 2 2 4 2 3" xfId="13316" xr:uid="{77CB60FD-7004-483B-BE8A-39044E212868}"/>
    <cellStyle name="Normal 5 3 4 2 2 4 3" xfId="6062" xr:uid="{00000000-0005-0000-0000-0000221A0000}"/>
    <cellStyle name="Normal 5 3 4 2 2 4 3 2" xfId="15388" xr:uid="{915B8A7A-EFD5-4A98-8D70-653C7FB86C14}"/>
    <cellStyle name="Normal 5 3 4 2 2 4 4" xfId="11171" xr:uid="{DFA192F7-FF7E-4064-B72E-07716D6BEB3E}"/>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2 2 2" xfId="17946" xr:uid="{BA9782B3-67D8-4D10-B88A-2B4022ACCBCA}"/>
    <cellStyle name="Normal 5 3 4 2 2 5 2 3" xfId="13729" xr:uid="{17C4AC60-5BD7-4BF2-8EFB-1C5DB7A9DC2C}"/>
    <cellStyle name="Normal 5 3 4 2 2 5 3" xfId="6475" xr:uid="{00000000-0005-0000-0000-0000261A0000}"/>
    <cellStyle name="Normal 5 3 4 2 2 5 3 2" xfId="15801" xr:uid="{5A48A224-10E0-4590-BA4B-072F302C3E12}"/>
    <cellStyle name="Normal 5 3 4 2 2 5 4" xfId="11584" xr:uid="{58EF10F6-FFAC-4B95-AF9F-EB615CC5C599}"/>
    <cellStyle name="Normal 5 3 4 2 2 6" xfId="2605" xr:uid="{00000000-0005-0000-0000-0000271A0000}"/>
    <cellStyle name="Normal 5 3 4 2 2 6 2" xfId="6888" xr:uid="{00000000-0005-0000-0000-0000281A0000}"/>
    <cellStyle name="Normal 5 3 4 2 2 6 2 2" xfId="16214" xr:uid="{72BABFF2-283B-444C-8224-6D26EC441BF6}"/>
    <cellStyle name="Normal 5 3 4 2 2 6 3" xfId="11997" xr:uid="{2A8DAE56-6041-4439-8ACC-9900BBDBC131}"/>
    <cellStyle name="Normal 5 3 4 2 2 7" xfId="4823" xr:uid="{00000000-0005-0000-0000-0000291A0000}"/>
    <cellStyle name="Normal 5 3 4 2 2 7 2" xfId="14149" xr:uid="{FE339786-07CE-4515-B135-23AD8FD5551C}"/>
    <cellStyle name="Normal 5 3 4 2 2 8" xfId="9141" xr:uid="{6B63A6D0-0E60-498B-8E53-451D5144533A}"/>
    <cellStyle name="Normal 5 3 4 2 2 8 2" xfId="18465" xr:uid="{4C9075B3-51B1-45BB-AD72-B347B02EAC0B}"/>
    <cellStyle name="Normal 5 3 4 2 2 9" xfId="9932" xr:uid="{8E4C623D-E45F-4F06-988F-3ED678CC4765}"/>
    <cellStyle name="Normal 5 3 4 2 3" xfId="924" xr:uid="{00000000-0005-0000-0000-00002A1A0000}"/>
    <cellStyle name="Normal 5 3 4 2 3 2" xfId="3158" xr:uid="{00000000-0005-0000-0000-00002B1A0000}"/>
    <cellStyle name="Normal 5 3 4 2 3 2 2" xfId="7380" xr:uid="{00000000-0005-0000-0000-00002C1A0000}"/>
    <cellStyle name="Normal 5 3 4 2 3 2 2 2" xfId="16706" xr:uid="{1E701EA9-3B4F-4EC7-98F1-72F6E8A519BC}"/>
    <cellStyle name="Normal 5 3 4 2 3 2 3" xfId="12489" xr:uid="{29A76C50-823A-4F47-A6EE-124A76DDCA5D}"/>
    <cellStyle name="Normal 5 3 4 2 3 3" xfId="5235" xr:uid="{00000000-0005-0000-0000-00002D1A0000}"/>
    <cellStyle name="Normal 5 3 4 2 3 3 2" xfId="14561" xr:uid="{35CAB38F-CCC2-45BC-8A07-3224D5BDD039}"/>
    <cellStyle name="Normal 5 3 4 2 3 4" xfId="9359" xr:uid="{FAC41203-2BC4-411F-9296-10781BA4F1AB}"/>
    <cellStyle name="Normal 5 3 4 2 3 4 2" xfId="18674" xr:uid="{5EBB900B-02FA-4A2A-AFFF-E57B0E5F7A8B}"/>
    <cellStyle name="Normal 5 3 4 2 3 5" xfId="10344" xr:uid="{91804CB0-1884-431B-A5E0-41031D634563}"/>
    <cellStyle name="Normal 5 3 4 2 4" xfId="1341" xr:uid="{00000000-0005-0000-0000-00002E1A0000}"/>
    <cellStyle name="Normal 5 3 4 2 4 2" xfId="3571" xr:uid="{00000000-0005-0000-0000-00002F1A0000}"/>
    <cellStyle name="Normal 5 3 4 2 4 2 2" xfId="7793" xr:uid="{00000000-0005-0000-0000-0000301A0000}"/>
    <cellStyle name="Normal 5 3 4 2 4 2 2 2" xfId="17119" xr:uid="{51F9B2C0-ED94-440B-9F4E-1A814CBA33AC}"/>
    <cellStyle name="Normal 5 3 4 2 4 2 3" xfId="12902" xr:uid="{05B26F27-E0C4-4506-9778-0D26D2107975}"/>
    <cellStyle name="Normal 5 3 4 2 4 3" xfId="5648" xr:uid="{00000000-0005-0000-0000-0000311A0000}"/>
    <cellStyle name="Normal 5 3 4 2 4 3 2" xfId="14974" xr:uid="{BC53B3E9-8D7B-4D5C-80D5-070F2FECF13E}"/>
    <cellStyle name="Normal 5 3 4 2 4 4" xfId="10757" xr:uid="{8FB26028-48E0-468A-ACA9-2B2DA4C4AF23}"/>
    <cellStyle name="Normal 5 3 4 2 5" xfId="1754" xr:uid="{00000000-0005-0000-0000-0000321A0000}"/>
    <cellStyle name="Normal 5 3 4 2 5 2" xfId="3984" xr:uid="{00000000-0005-0000-0000-0000331A0000}"/>
    <cellStyle name="Normal 5 3 4 2 5 2 2" xfId="8206" xr:uid="{00000000-0005-0000-0000-0000341A0000}"/>
    <cellStyle name="Normal 5 3 4 2 5 2 2 2" xfId="17532" xr:uid="{3686D77D-646E-41EE-AC63-BEEA731B81F8}"/>
    <cellStyle name="Normal 5 3 4 2 5 2 3" xfId="13315" xr:uid="{8DFF4B45-2D52-4CC9-B141-79A046655A8B}"/>
    <cellStyle name="Normal 5 3 4 2 5 3" xfId="6061" xr:uid="{00000000-0005-0000-0000-0000351A0000}"/>
    <cellStyle name="Normal 5 3 4 2 5 3 2" xfId="15387" xr:uid="{9F5E0D3B-36F3-492E-B779-E6A6D715BC5B}"/>
    <cellStyle name="Normal 5 3 4 2 5 4" xfId="11170" xr:uid="{A19B3CBC-3D9D-45E7-BDA2-E27DADCCA691}"/>
    <cellStyle name="Normal 5 3 4 2 6" xfId="2168" xr:uid="{00000000-0005-0000-0000-0000361A0000}"/>
    <cellStyle name="Normal 5 3 4 2 6 2" xfId="4397" xr:uid="{00000000-0005-0000-0000-0000371A0000}"/>
    <cellStyle name="Normal 5 3 4 2 6 2 2" xfId="8619" xr:uid="{00000000-0005-0000-0000-0000381A0000}"/>
    <cellStyle name="Normal 5 3 4 2 6 2 2 2" xfId="17945" xr:uid="{0F32682F-FC9F-4B68-AEF4-D8F0317FA6A0}"/>
    <cellStyle name="Normal 5 3 4 2 6 2 3" xfId="13728" xr:uid="{6D49CA2E-2636-4609-800E-38AB584E00DC}"/>
    <cellStyle name="Normal 5 3 4 2 6 3" xfId="6474" xr:uid="{00000000-0005-0000-0000-0000391A0000}"/>
    <cellStyle name="Normal 5 3 4 2 6 3 2" xfId="15800" xr:uid="{8BE00BC1-551A-4E40-8142-99CFD8192262}"/>
    <cellStyle name="Normal 5 3 4 2 6 4" xfId="11583" xr:uid="{600E0708-4C81-4116-87A7-B7DC12BE1BD6}"/>
    <cellStyle name="Normal 5 3 4 2 7" xfId="2604" xr:uid="{00000000-0005-0000-0000-00003A1A0000}"/>
    <cellStyle name="Normal 5 3 4 2 7 2" xfId="6887" xr:uid="{00000000-0005-0000-0000-00003B1A0000}"/>
    <cellStyle name="Normal 5 3 4 2 7 2 2" xfId="16213" xr:uid="{5CA57177-07F9-44D9-98DF-26805E26BFFE}"/>
    <cellStyle name="Normal 5 3 4 2 7 3" xfId="11996" xr:uid="{6EDD1252-D421-4609-A37B-A06136D07391}"/>
    <cellStyle name="Normal 5 3 4 2 8" xfId="4822" xr:uid="{00000000-0005-0000-0000-00003C1A0000}"/>
    <cellStyle name="Normal 5 3 4 2 8 2" xfId="14148" xr:uid="{CDAF68F5-EA02-412C-97D4-A71F4DBE0279}"/>
    <cellStyle name="Normal 5 3 4 2 9" xfId="8934" xr:uid="{D16D0DF9-4576-4200-8972-8AAD50545E0D}"/>
    <cellStyle name="Normal 5 3 4 2 9 2" xfId="18258" xr:uid="{CA2E0B89-5E0C-4759-A94A-CB6E15EAE0E5}"/>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2 2 2" xfId="16708" xr:uid="{D81B5A74-52B7-4021-A206-20FE34FF8932}"/>
    <cellStyle name="Normal 5 3 4 3 2 2 3" xfId="12491" xr:uid="{E9B9274F-9544-47DE-9105-005532CED8DB}"/>
    <cellStyle name="Normal 5 3 4 3 2 3" xfId="5237" xr:uid="{00000000-0005-0000-0000-0000411A0000}"/>
    <cellStyle name="Normal 5 3 4 3 2 3 2" xfId="14563" xr:uid="{D6505ED3-979F-4AE9-AE08-E207A8C615FD}"/>
    <cellStyle name="Normal 5 3 4 3 2 4" xfId="9463" xr:uid="{1CC38E89-013B-404F-9F3E-11BABC37F656}"/>
    <cellStyle name="Normal 5 3 4 3 2 4 2" xfId="18778" xr:uid="{6F571706-6668-4F5A-92D8-63A21D46D1DA}"/>
    <cellStyle name="Normal 5 3 4 3 2 5" xfId="10346" xr:uid="{D78DC34F-BC3A-433F-9926-FB077BDB0DBB}"/>
    <cellStyle name="Normal 5 3 4 3 3" xfId="1343" xr:uid="{00000000-0005-0000-0000-0000421A0000}"/>
    <cellStyle name="Normal 5 3 4 3 3 2" xfId="3573" xr:uid="{00000000-0005-0000-0000-0000431A0000}"/>
    <cellStyle name="Normal 5 3 4 3 3 2 2" xfId="7795" xr:uid="{00000000-0005-0000-0000-0000441A0000}"/>
    <cellStyle name="Normal 5 3 4 3 3 2 2 2" xfId="17121" xr:uid="{1E333A12-2548-4B08-B4CA-C5D2338AF422}"/>
    <cellStyle name="Normal 5 3 4 3 3 2 3" xfId="12904" xr:uid="{2AC8F4FE-C92B-4EE5-8FCC-8BCBCD6A246C}"/>
    <cellStyle name="Normal 5 3 4 3 3 3" xfId="5650" xr:uid="{00000000-0005-0000-0000-0000451A0000}"/>
    <cellStyle name="Normal 5 3 4 3 3 3 2" xfId="14976" xr:uid="{C489D52B-6170-4E7E-885A-FB22A4741CA2}"/>
    <cellStyle name="Normal 5 3 4 3 3 4" xfId="10759" xr:uid="{32416078-B148-4468-BB54-9F2AC488BF82}"/>
    <cellStyle name="Normal 5 3 4 3 4" xfId="1756" xr:uid="{00000000-0005-0000-0000-0000461A0000}"/>
    <cellStyle name="Normal 5 3 4 3 4 2" xfId="3986" xr:uid="{00000000-0005-0000-0000-0000471A0000}"/>
    <cellStyle name="Normal 5 3 4 3 4 2 2" xfId="8208" xr:uid="{00000000-0005-0000-0000-0000481A0000}"/>
    <cellStyle name="Normal 5 3 4 3 4 2 2 2" xfId="17534" xr:uid="{563977C4-7B5B-4C32-B9C5-FB5909839CE7}"/>
    <cellStyle name="Normal 5 3 4 3 4 2 3" xfId="13317" xr:uid="{04759DBE-1F7F-4BCF-8C14-4BE09F9CB342}"/>
    <cellStyle name="Normal 5 3 4 3 4 3" xfId="6063" xr:uid="{00000000-0005-0000-0000-0000491A0000}"/>
    <cellStyle name="Normal 5 3 4 3 4 3 2" xfId="15389" xr:uid="{2B64AA9A-F15E-4874-ACEB-51E4CE120DA2}"/>
    <cellStyle name="Normal 5 3 4 3 4 4" xfId="11172" xr:uid="{D1914E6E-CB04-4001-8DC1-66D6109CE2EE}"/>
    <cellStyle name="Normal 5 3 4 3 5" xfId="2170" xr:uid="{00000000-0005-0000-0000-00004A1A0000}"/>
    <cellStyle name="Normal 5 3 4 3 5 2" xfId="4399" xr:uid="{00000000-0005-0000-0000-00004B1A0000}"/>
    <cellStyle name="Normal 5 3 4 3 5 2 2" xfId="8621" xr:uid="{00000000-0005-0000-0000-00004C1A0000}"/>
    <cellStyle name="Normal 5 3 4 3 5 2 2 2" xfId="17947" xr:uid="{57A0649B-DD2E-4159-ADBB-3EE5033D5925}"/>
    <cellStyle name="Normal 5 3 4 3 5 2 3" xfId="13730" xr:uid="{393A0A78-B775-47CB-8DC9-050BCBA92BF5}"/>
    <cellStyle name="Normal 5 3 4 3 5 3" xfId="6476" xr:uid="{00000000-0005-0000-0000-00004D1A0000}"/>
    <cellStyle name="Normal 5 3 4 3 5 3 2" xfId="15802" xr:uid="{5557EFF2-88E2-4530-B8C8-26A5C27F1D48}"/>
    <cellStyle name="Normal 5 3 4 3 5 4" xfId="11585" xr:uid="{05FFEDCE-920B-449D-8816-167E1AACF318}"/>
    <cellStyle name="Normal 5 3 4 3 6" xfId="2606" xr:uid="{00000000-0005-0000-0000-00004E1A0000}"/>
    <cellStyle name="Normal 5 3 4 3 6 2" xfId="6889" xr:uid="{00000000-0005-0000-0000-00004F1A0000}"/>
    <cellStyle name="Normal 5 3 4 3 6 2 2" xfId="16215" xr:uid="{1706EE79-EBDF-4E86-BBDC-26D19FFBF306}"/>
    <cellStyle name="Normal 5 3 4 3 6 3" xfId="11998" xr:uid="{110414D6-8055-4AAB-8027-2FA230AD7747}"/>
    <cellStyle name="Normal 5 3 4 3 7" xfId="4824" xr:uid="{00000000-0005-0000-0000-0000501A0000}"/>
    <cellStyle name="Normal 5 3 4 3 7 2" xfId="14150" xr:uid="{5A5C6769-8647-4503-8F6D-C3D74E715FBB}"/>
    <cellStyle name="Normal 5 3 4 3 8" xfId="9038" xr:uid="{15024032-E3C2-4FDD-B674-481D39A836C5}"/>
    <cellStyle name="Normal 5 3 4 3 8 2" xfId="18362" xr:uid="{576C1714-05D8-4291-9303-D143ED0CD174}"/>
    <cellStyle name="Normal 5 3 4 3 9" xfId="9933" xr:uid="{368333F1-E953-4559-9F56-2E4F7C12D3BA}"/>
    <cellStyle name="Normal 5 3 4 4" xfId="923" xr:uid="{00000000-0005-0000-0000-0000511A0000}"/>
    <cellStyle name="Normal 5 3 4 4 2" xfId="3157" xr:uid="{00000000-0005-0000-0000-0000521A0000}"/>
    <cellStyle name="Normal 5 3 4 4 2 2" xfId="7379" xr:uid="{00000000-0005-0000-0000-0000531A0000}"/>
    <cellStyle name="Normal 5 3 4 4 2 2 2" xfId="16705" xr:uid="{FE84A5F7-612A-41BF-93D5-F56A8EFA94C7}"/>
    <cellStyle name="Normal 5 3 4 4 2 3" xfId="12488" xr:uid="{FC16505A-03E7-4129-B033-ED3AA3B503E2}"/>
    <cellStyle name="Normal 5 3 4 4 3" xfId="5234" xr:uid="{00000000-0005-0000-0000-0000541A0000}"/>
    <cellStyle name="Normal 5 3 4 4 3 2" xfId="14560" xr:uid="{395F2A00-3C0E-4EE1-B5A3-7398F68AF237}"/>
    <cellStyle name="Normal 5 3 4 4 4" xfId="9256" xr:uid="{69A14F57-2B46-4294-8CA5-E21858516C25}"/>
    <cellStyle name="Normal 5 3 4 4 4 2" xfId="18571" xr:uid="{2A8E2D06-B698-48A7-ADBD-A4CD7DD775FD}"/>
    <cellStyle name="Normal 5 3 4 4 5" xfId="10343" xr:uid="{F09C0C5F-409E-4DCC-9337-07B44136A270}"/>
    <cellStyle name="Normal 5 3 4 5" xfId="1340" xr:uid="{00000000-0005-0000-0000-0000551A0000}"/>
    <cellStyle name="Normal 5 3 4 5 2" xfId="3570" xr:uid="{00000000-0005-0000-0000-0000561A0000}"/>
    <cellStyle name="Normal 5 3 4 5 2 2" xfId="7792" xr:uid="{00000000-0005-0000-0000-0000571A0000}"/>
    <cellStyle name="Normal 5 3 4 5 2 2 2" xfId="17118" xr:uid="{39AD1ECB-B7F1-4CA7-BA8F-4A909A6ABE9C}"/>
    <cellStyle name="Normal 5 3 4 5 2 3" xfId="12901" xr:uid="{F9343902-84F6-466C-9F73-1ECC4E9F3D7A}"/>
    <cellStyle name="Normal 5 3 4 5 3" xfId="5647" xr:uid="{00000000-0005-0000-0000-0000581A0000}"/>
    <cellStyle name="Normal 5 3 4 5 3 2" xfId="14973" xr:uid="{AFD4AED1-23C0-4737-8677-BB0C4A2141AE}"/>
    <cellStyle name="Normal 5 3 4 5 4" xfId="10756" xr:uid="{33C52F74-6A56-4FC1-B4BC-7EC29B44AD8B}"/>
    <cellStyle name="Normal 5 3 4 6" xfId="1753" xr:uid="{00000000-0005-0000-0000-0000591A0000}"/>
    <cellStyle name="Normal 5 3 4 6 2" xfId="3983" xr:uid="{00000000-0005-0000-0000-00005A1A0000}"/>
    <cellStyle name="Normal 5 3 4 6 2 2" xfId="8205" xr:uid="{00000000-0005-0000-0000-00005B1A0000}"/>
    <cellStyle name="Normal 5 3 4 6 2 2 2" xfId="17531" xr:uid="{ADCC3782-56C0-4575-ABA8-1DE9715DBE6D}"/>
    <cellStyle name="Normal 5 3 4 6 2 3" xfId="13314" xr:uid="{F3782485-4C65-44DA-B787-32DB41C9A4BB}"/>
    <cellStyle name="Normal 5 3 4 6 3" xfId="6060" xr:uid="{00000000-0005-0000-0000-00005C1A0000}"/>
    <cellStyle name="Normal 5 3 4 6 3 2" xfId="15386" xr:uid="{3D20296D-9000-4DBB-BABC-633ADEABB9F8}"/>
    <cellStyle name="Normal 5 3 4 6 4" xfId="11169" xr:uid="{D83BF1F0-7279-48E3-B8F5-4FF8A0250306}"/>
    <cellStyle name="Normal 5 3 4 7" xfId="2167" xr:uid="{00000000-0005-0000-0000-00005D1A0000}"/>
    <cellStyle name="Normal 5 3 4 7 2" xfId="4396" xr:uid="{00000000-0005-0000-0000-00005E1A0000}"/>
    <cellStyle name="Normal 5 3 4 7 2 2" xfId="8618" xr:uid="{00000000-0005-0000-0000-00005F1A0000}"/>
    <cellStyle name="Normal 5 3 4 7 2 2 2" xfId="17944" xr:uid="{CA310E66-BB9F-445C-9482-27E177C5C3E9}"/>
    <cellStyle name="Normal 5 3 4 7 2 3" xfId="13727" xr:uid="{59C64913-C13F-4919-B7A0-469EC42210C9}"/>
    <cellStyle name="Normal 5 3 4 7 3" xfId="6473" xr:uid="{00000000-0005-0000-0000-0000601A0000}"/>
    <cellStyle name="Normal 5 3 4 7 3 2" xfId="15799" xr:uid="{5F7F1212-FB5A-430D-B6FC-148079187BB2}"/>
    <cellStyle name="Normal 5 3 4 7 4" xfId="11582" xr:uid="{439A4E9B-62B8-4897-A8AB-B0781864DFB6}"/>
    <cellStyle name="Normal 5 3 4 8" xfId="2603" xr:uid="{00000000-0005-0000-0000-0000611A0000}"/>
    <cellStyle name="Normal 5 3 4 8 2" xfId="6886" xr:uid="{00000000-0005-0000-0000-0000621A0000}"/>
    <cellStyle name="Normal 5 3 4 8 2 2" xfId="16212" xr:uid="{76AB34CE-8D94-40C4-95B5-7B45F563E10E}"/>
    <cellStyle name="Normal 5 3 4 8 3" xfId="11995" xr:uid="{AEDEE67D-3271-451D-8498-A9FA70B0FB65}"/>
    <cellStyle name="Normal 5 3 4 9" xfId="4821" xr:uid="{00000000-0005-0000-0000-0000631A0000}"/>
    <cellStyle name="Normal 5 3 4 9 2" xfId="14147" xr:uid="{83CF336F-DE76-4175-A169-679BBFB9EBF5}"/>
    <cellStyle name="Normal 5 3 5" xfId="453" xr:uid="{00000000-0005-0000-0000-0000641A0000}"/>
    <cellStyle name="Normal 5 3 5 10" xfId="9934" xr:uid="{F61AE859-8EBB-4DFE-8E9A-B61D2406A92F}"/>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2 2 2" xfId="16710" xr:uid="{A3A262F3-09A7-4112-B7B8-E37F483CDE4A}"/>
    <cellStyle name="Normal 5 3 5 2 2 2 3" xfId="12493" xr:uid="{6ACF200B-8534-47A1-8A11-4B6EB83CDADF}"/>
    <cellStyle name="Normal 5 3 5 2 2 3" xfId="5239" xr:uid="{00000000-0005-0000-0000-0000691A0000}"/>
    <cellStyle name="Normal 5 3 5 2 2 3 2" xfId="14565" xr:uid="{9F29A2A7-14B0-44BD-B0E1-1C03BBEEAD2D}"/>
    <cellStyle name="Normal 5 3 5 2 2 4" xfId="9485" xr:uid="{E88A0512-4544-44F7-B02F-696DEB177F8E}"/>
    <cellStyle name="Normal 5 3 5 2 2 4 2" xfId="18800" xr:uid="{07C89139-C063-4318-B04C-D8389FCC2924}"/>
    <cellStyle name="Normal 5 3 5 2 2 5" xfId="10348" xr:uid="{B66D9E89-8BDF-454B-86DD-543296FA2451}"/>
    <cellStyle name="Normal 5 3 5 2 3" xfId="1345" xr:uid="{00000000-0005-0000-0000-00006A1A0000}"/>
    <cellStyle name="Normal 5 3 5 2 3 2" xfId="3575" xr:uid="{00000000-0005-0000-0000-00006B1A0000}"/>
    <cellStyle name="Normal 5 3 5 2 3 2 2" xfId="7797" xr:uid="{00000000-0005-0000-0000-00006C1A0000}"/>
    <cellStyle name="Normal 5 3 5 2 3 2 2 2" xfId="17123" xr:uid="{70FC38DC-5F83-4226-841B-6A46CE4E1E0F}"/>
    <cellStyle name="Normal 5 3 5 2 3 2 3" xfId="12906" xr:uid="{372BFDD3-82ED-4677-81FB-8230EF89ED9E}"/>
    <cellStyle name="Normal 5 3 5 2 3 3" xfId="5652" xr:uid="{00000000-0005-0000-0000-00006D1A0000}"/>
    <cellStyle name="Normal 5 3 5 2 3 3 2" xfId="14978" xr:uid="{08C846B3-4A26-4A45-8A35-259C2F6FECF7}"/>
    <cellStyle name="Normal 5 3 5 2 3 4" xfId="10761" xr:uid="{5B31145D-A44F-483A-AA00-98D8CBC6A0B4}"/>
    <cellStyle name="Normal 5 3 5 2 4" xfId="1758" xr:uid="{00000000-0005-0000-0000-00006E1A0000}"/>
    <cellStyle name="Normal 5 3 5 2 4 2" xfId="3988" xr:uid="{00000000-0005-0000-0000-00006F1A0000}"/>
    <cellStyle name="Normal 5 3 5 2 4 2 2" xfId="8210" xr:uid="{00000000-0005-0000-0000-0000701A0000}"/>
    <cellStyle name="Normal 5 3 5 2 4 2 2 2" xfId="17536" xr:uid="{2B768533-9091-44B9-952F-D80BBF031C20}"/>
    <cellStyle name="Normal 5 3 5 2 4 2 3" xfId="13319" xr:uid="{134279DD-221C-4A8F-B6A8-D12ED1CD8ED7}"/>
    <cellStyle name="Normal 5 3 5 2 4 3" xfId="6065" xr:uid="{00000000-0005-0000-0000-0000711A0000}"/>
    <cellStyle name="Normal 5 3 5 2 4 3 2" xfId="15391" xr:uid="{4EA0A87D-F484-44B6-8253-EF4F2676EDF7}"/>
    <cellStyle name="Normal 5 3 5 2 4 4" xfId="11174" xr:uid="{29EA7B23-CB19-46AA-8F99-F7E6369F7C55}"/>
    <cellStyle name="Normal 5 3 5 2 5" xfId="2172" xr:uid="{00000000-0005-0000-0000-0000721A0000}"/>
    <cellStyle name="Normal 5 3 5 2 5 2" xfId="4401" xr:uid="{00000000-0005-0000-0000-0000731A0000}"/>
    <cellStyle name="Normal 5 3 5 2 5 2 2" xfId="8623" xr:uid="{00000000-0005-0000-0000-0000741A0000}"/>
    <cellStyle name="Normal 5 3 5 2 5 2 2 2" xfId="17949" xr:uid="{46E8243A-D470-4ECD-9936-598A007E0DBE}"/>
    <cellStyle name="Normal 5 3 5 2 5 2 3" xfId="13732" xr:uid="{1A2F8125-0241-46F5-A8F5-2AB5ACA6FFC0}"/>
    <cellStyle name="Normal 5 3 5 2 5 3" xfId="6478" xr:uid="{00000000-0005-0000-0000-0000751A0000}"/>
    <cellStyle name="Normal 5 3 5 2 5 3 2" xfId="15804" xr:uid="{F79ABB73-F0F4-4BAA-888E-61C41478F1D3}"/>
    <cellStyle name="Normal 5 3 5 2 5 4" xfId="11587" xr:uid="{4A909D88-823A-4CAE-A565-34715FC1DC26}"/>
    <cellStyle name="Normal 5 3 5 2 6" xfId="2608" xr:uid="{00000000-0005-0000-0000-0000761A0000}"/>
    <cellStyle name="Normal 5 3 5 2 6 2" xfId="6891" xr:uid="{00000000-0005-0000-0000-0000771A0000}"/>
    <cellStyle name="Normal 5 3 5 2 6 2 2" xfId="16217" xr:uid="{EBF3BC22-5C75-452B-B413-7D75FE23BA41}"/>
    <cellStyle name="Normal 5 3 5 2 6 3" xfId="12000" xr:uid="{C6DB6569-F382-4DDD-B724-D1F496D8D5A9}"/>
    <cellStyle name="Normal 5 3 5 2 7" xfId="4826" xr:uid="{00000000-0005-0000-0000-0000781A0000}"/>
    <cellStyle name="Normal 5 3 5 2 7 2" xfId="14152" xr:uid="{44521C22-8BA3-4409-94FB-F206C679C889}"/>
    <cellStyle name="Normal 5 3 5 2 8" xfId="9060" xr:uid="{D76124DC-5753-46E4-97E7-1D76E6E20EEE}"/>
    <cellStyle name="Normal 5 3 5 2 8 2" xfId="18384" xr:uid="{AEF6935D-04F2-4F1A-B56A-279C3172DBE7}"/>
    <cellStyle name="Normal 5 3 5 2 9" xfId="9935" xr:uid="{F72E2BDD-8179-43B4-936B-B911702A544C}"/>
    <cellStyle name="Normal 5 3 5 3" xfId="927" xr:uid="{00000000-0005-0000-0000-0000791A0000}"/>
    <cellStyle name="Normal 5 3 5 3 2" xfId="3161" xr:uid="{00000000-0005-0000-0000-00007A1A0000}"/>
    <cellStyle name="Normal 5 3 5 3 2 2" xfId="7383" xr:uid="{00000000-0005-0000-0000-00007B1A0000}"/>
    <cellStyle name="Normal 5 3 5 3 2 2 2" xfId="16709" xr:uid="{36804D77-1AB6-490E-AA26-282A3F65151A}"/>
    <cellStyle name="Normal 5 3 5 3 2 3" xfId="12492" xr:uid="{0D85F2AE-7BAE-4F11-AD91-4366ECD69EA3}"/>
    <cellStyle name="Normal 5 3 5 3 3" xfId="5238" xr:uid="{00000000-0005-0000-0000-00007C1A0000}"/>
    <cellStyle name="Normal 5 3 5 3 3 2" xfId="14564" xr:uid="{15579856-BB8C-4F8B-A391-7CB6D47D820B}"/>
    <cellStyle name="Normal 5 3 5 3 4" xfId="9278" xr:uid="{6197750A-97CA-41EF-A67C-63E25EE58E9E}"/>
    <cellStyle name="Normal 5 3 5 3 4 2" xfId="18593" xr:uid="{CF06CFB0-EB88-4A6B-8013-3E77EEEF487E}"/>
    <cellStyle name="Normal 5 3 5 3 5" xfId="10347" xr:uid="{75F05EED-75D3-48BD-B75B-ABC679B4E254}"/>
    <cellStyle name="Normal 5 3 5 4" xfId="1344" xr:uid="{00000000-0005-0000-0000-00007D1A0000}"/>
    <cellStyle name="Normal 5 3 5 4 2" xfId="3574" xr:uid="{00000000-0005-0000-0000-00007E1A0000}"/>
    <cellStyle name="Normal 5 3 5 4 2 2" xfId="7796" xr:uid="{00000000-0005-0000-0000-00007F1A0000}"/>
    <cellStyle name="Normal 5 3 5 4 2 2 2" xfId="17122" xr:uid="{4364FF57-FBEA-497C-832A-433625A15C5B}"/>
    <cellStyle name="Normal 5 3 5 4 2 3" xfId="12905" xr:uid="{1AF4FF7C-587D-4027-8AAD-D37964CA354E}"/>
    <cellStyle name="Normal 5 3 5 4 3" xfId="5651" xr:uid="{00000000-0005-0000-0000-0000801A0000}"/>
    <cellStyle name="Normal 5 3 5 4 3 2" xfId="14977" xr:uid="{82A4E822-3B0D-4B2B-A469-B19F788D3F88}"/>
    <cellStyle name="Normal 5 3 5 4 4" xfId="10760" xr:uid="{198500D0-2085-4A6E-87B9-A60BE88A8907}"/>
    <cellStyle name="Normal 5 3 5 5" xfId="1757" xr:uid="{00000000-0005-0000-0000-0000811A0000}"/>
    <cellStyle name="Normal 5 3 5 5 2" xfId="3987" xr:uid="{00000000-0005-0000-0000-0000821A0000}"/>
    <cellStyle name="Normal 5 3 5 5 2 2" xfId="8209" xr:uid="{00000000-0005-0000-0000-0000831A0000}"/>
    <cellStyle name="Normal 5 3 5 5 2 2 2" xfId="17535" xr:uid="{D5037E94-FD9E-4136-BE67-35F0D49275D0}"/>
    <cellStyle name="Normal 5 3 5 5 2 3" xfId="13318" xr:uid="{62443DB9-EE01-4A6F-B429-6501A364207B}"/>
    <cellStyle name="Normal 5 3 5 5 3" xfId="6064" xr:uid="{00000000-0005-0000-0000-0000841A0000}"/>
    <cellStyle name="Normal 5 3 5 5 3 2" xfId="15390" xr:uid="{93ECC5B6-C733-4E13-B4F4-F1A6E4554CF1}"/>
    <cellStyle name="Normal 5 3 5 5 4" xfId="11173" xr:uid="{5EBB85E5-83E6-40EF-BB3B-8FFC1F525EE3}"/>
    <cellStyle name="Normal 5 3 5 6" xfId="2171" xr:uid="{00000000-0005-0000-0000-0000851A0000}"/>
    <cellStyle name="Normal 5 3 5 6 2" xfId="4400" xr:uid="{00000000-0005-0000-0000-0000861A0000}"/>
    <cellStyle name="Normal 5 3 5 6 2 2" xfId="8622" xr:uid="{00000000-0005-0000-0000-0000871A0000}"/>
    <cellStyle name="Normal 5 3 5 6 2 2 2" xfId="17948" xr:uid="{29BB09E3-C589-40A6-8F57-5A1B355F7DD2}"/>
    <cellStyle name="Normal 5 3 5 6 2 3" xfId="13731" xr:uid="{BA40031B-BED5-4FE4-B2B7-EA9736DEBACC}"/>
    <cellStyle name="Normal 5 3 5 6 3" xfId="6477" xr:uid="{00000000-0005-0000-0000-0000881A0000}"/>
    <cellStyle name="Normal 5 3 5 6 3 2" xfId="15803" xr:uid="{EF842E54-3629-43E2-A142-DAF28EC3437A}"/>
    <cellStyle name="Normal 5 3 5 6 4" xfId="11586" xr:uid="{78AE6603-1519-4D99-B1D8-422BDF501433}"/>
    <cellStyle name="Normal 5 3 5 7" xfId="2607" xr:uid="{00000000-0005-0000-0000-0000891A0000}"/>
    <cellStyle name="Normal 5 3 5 7 2" xfId="6890" xr:uid="{00000000-0005-0000-0000-00008A1A0000}"/>
    <cellStyle name="Normal 5 3 5 7 2 2" xfId="16216" xr:uid="{1773B36B-34D2-449E-BA41-85C124C1187B}"/>
    <cellStyle name="Normal 5 3 5 7 3" xfId="11999" xr:uid="{EF8EE236-8EDE-4F7A-A781-8A2198E47657}"/>
    <cellStyle name="Normal 5 3 5 8" xfId="4825" xr:uid="{00000000-0005-0000-0000-00008B1A0000}"/>
    <cellStyle name="Normal 5 3 5 8 2" xfId="14151" xr:uid="{095D7DA3-2BC6-452F-861B-A4EBABE5912B}"/>
    <cellStyle name="Normal 5 3 5 9" xfId="8853" xr:uid="{049FA2CE-003F-47C1-A264-645323886F35}"/>
    <cellStyle name="Normal 5 3 5 9 2" xfId="18177" xr:uid="{BD2A943F-2FC7-4A78-8034-D277AE4AB7FD}"/>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2 2 2" xfId="16711" xr:uid="{ADCF3AFB-1F1B-4BD9-8CC5-8207FAEBDAFB}"/>
    <cellStyle name="Normal 5 3 6 2 2 3" xfId="12494" xr:uid="{FEDD411B-2690-4D26-9EF0-E59EC2058F2F}"/>
    <cellStyle name="Normal 5 3 6 2 3" xfId="5240" xr:uid="{00000000-0005-0000-0000-0000901A0000}"/>
    <cellStyle name="Normal 5 3 6 2 3 2" xfId="14566" xr:uid="{E2E48F08-3DE7-4F0F-B569-5456915BE7C5}"/>
    <cellStyle name="Normal 5 3 6 2 4" xfId="9394" xr:uid="{040FDD8C-10C9-4583-9A6E-8F76047ECA0C}"/>
    <cellStyle name="Normal 5 3 6 2 4 2" xfId="18709" xr:uid="{859E792C-0829-4A8D-A5D4-7B7BBDE52B3B}"/>
    <cellStyle name="Normal 5 3 6 2 5" xfId="10349" xr:uid="{FEF0F49C-5E88-4EA9-AE3B-BEB689EA229B}"/>
    <cellStyle name="Normal 5 3 6 3" xfId="1346" xr:uid="{00000000-0005-0000-0000-0000911A0000}"/>
    <cellStyle name="Normal 5 3 6 3 2" xfId="3576" xr:uid="{00000000-0005-0000-0000-0000921A0000}"/>
    <cellStyle name="Normal 5 3 6 3 2 2" xfId="7798" xr:uid="{00000000-0005-0000-0000-0000931A0000}"/>
    <cellStyle name="Normal 5 3 6 3 2 2 2" xfId="17124" xr:uid="{94F43473-6FF4-453E-8EFB-9424772E12EF}"/>
    <cellStyle name="Normal 5 3 6 3 2 3" xfId="12907" xr:uid="{1D6E7C1B-9B72-41C5-9E0C-06928A3ECFE0}"/>
    <cellStyle name="Normal 5 3 6 3 3" xfId="5653" xr:uid="{00000000-0005-0000-0000-0000941A0000}"/>
    <cellStyle name="Normal 5 3 6 3 3 2" xfId="14979" xr:uid="{7646C20A-AF74-4B1A-B9C1-6580BBCAC0A3}"/>
    <cellStyle name="Normal 5 3 6 3 4" xfId="10762" xr:uid="{204FC142-CCA5-46E6-AFCF-2B1B7C2EC90A}"/>
    <cellStyle name="Normal 5 3 6 4" xfId="1759" xr:uid="{00000000-0005-0000-0000-0000951A0000}"/>
    <cellStyle name="Normal 5 3 6 4 2" xfId="3989" xr:uid="{00000000-0005-0000-0000-0000961A0000}"/>
    <cellStyle name="Normal 5 3 6 4 2 2" xfId="8211" xr:uid="{00000000-0005-0000-0000-0000971A0000}"/>
    <cellStyle name="Normal 5 3 6 4 2 2 2" xfId="17537" xr:uid="{C80B3105-2F71-4E1B-95BD-F722F379D251}"/>
    <cellStyle name="Normal 5 3 6 4 2 3" xfId="13320" xr:uid="{A7EBADB2-3973-4409-903C-88405AF2F250}"/>
    <cellStyle name="Normal 5 3 6 4 3" xfId="6066" xr:uid="{00000000-0005-0000-0000-0000981A0000}"/>
    <cellStyle name="Normal 5 3 6 4 3 2" xfId="15392" xr:uid="{AB6BFB8E-2F9D-40AB-AE92-9050910E2EF8}"/>
    <cellStyle name="Normal 5 3 6 4 4" xfId="11175" xr:uid="{476670C4-2CE4-4826-8C28-3972BABE533A}"/>
    <cellStyle name="Normal 5 3 6 5" xfId="2173" xr:uid="{00000000-0005-0000-0000-0000991A0000}"/>
    <cellStyle name="Normal 5 3 6 5 2" xfId="4402" xr:uid="{00000000-0005-0000-0000-00009A1A0000}"/>
    <cellStyle name="Normal 5 3 6 5 2 2" xfId="8624" xr:uid="{00000000-0005-0000-0000-00009B1A0000}"/>
    <cellStyle name="Normal 5 3 6 5 2 2 2" xfId="17950" xr:uid="{2487BEC1-CBEE-4B15-872E-0ED2702E0BF0}"/>
    <cellStyle name="Normal 5 3 6 5 2 3" xfId="13733" xr:uid="{3AFF20F8-DBAD-4B9A-9D77-3393716A2D79}"/>
    <cellStyle name="Normal 5 3 6 5 3" xfId="6479" xr:uid="{00000000-0005-0000-0000-00009C1A0000}"/>
    <cellStyle name="Normal 5 3 6 5 3 2" xfId="15805" xr:uid="{86E4AF24-9AE3-41E8-9F95-D995EC3D7DCF}"/>
    <cellStyle name="Normal 5 3 6 5 4" xfId="11588" xr:uid="{390A3CCB-D700-4E84-8AE0-E68648451A7D}"/>
    <cellStyle name="Normal 5 3 6 6" xfId="2609" xr:uid="{00000000-0005-0000-0000-00009D1A0000}"/>
    <cellStyle name="Normal 5 3 6 6 2" xfId="6892" xr:uid="{00000000-0005-0000-0000-00009E1A0000}"/>
    <cellStyle name="Normal 5 3 6 6 2 2" xfId="16218" xr:uid="{C84227F6-2081-4C0C-A317-5BA67176642B}"/>
    <cellStyle name="Normal 5 3 6 6 3" xfId="12001" xr:uid="{C97AEE47-7B72-44FD-9D79-69BA77944ACF}"/>
    <cellStyle name="Normal 5 3 6 7" xfId="4827" xr:uid="{00000000-0005-0000-0000-00009F1A0000}"/>
    <cellStyle name="Normal 5 3 6 7 2" xfId="14153" xr:uid="{E35B6066-7404-46C5-B570-CA5EE90508F4}"/>
    <cellStyle name="Normal 5 3 6 8" xfId="8969" xr:uid="{FA7ABEAF-BFEA-4D3E-A53B-E23F3117BFD8}"/>
    <cellStyle name="Normal 5 3 6 8 2" xfId="18293" xr:uid="{3B9926C7-1277-4E3D-8F27-491017397835}"/>
    <cellStyle name="Normal 5 3 6 9" xfId="9936" xr:uid="{AC8306F2-355E-4AEF-ADA3-60A41B9C0DC1}"/>
    <cellStyle name="Normal 5 3 7" xfId="913" xr:uid="{00000000-0005-0000-0000-0000A01A0000}"/>
    <cellStyle name="Normal 5 3 7 2" xfId="3148" xr:uid="{00000000-0005-0000-0000-0000A11A0000}"/>
    <cellStyle name="Normal 5 3 7 2 2" xfId="7370" xr:uid="{00000000-0005-0000-0000-0000A21A0000}"/>
    <cellStyle name="Normal 5 3 7 2 2 2" xfId="16696" xr:uid="{029597C7-A895-49F3-956C-5098E22DDED1}"/>
    <cellStyle name="Normal 5 3 7 2 3" xfId="12479" xr:uid="{40EAAC98-169C-4CD1-8832-503F129909A2}"/>
    <cellStyle name="Normal 5 3 7 3" xfId="5225" xr:uid="{00000000-0005-0000-0000-0000A31A0000}"/>
    <cellStyle name="Normal 5 3 7 3 2" xfId="14551" xr:uid="{10D89809-B419-49F1-9D1E-B55A3C83D8ED}"/>
    <cellStyle name="Normal 5 3 7 4" xfId="9172" xr:uid="{5609ABAF-B913-41DD-9CCE-B28C6A880815}"/>
    <cellStyle name="Normal 5 3 7 4 2" xfId="18490" xr:uid="{BA792341-4DA2-440D-B5DE-B657D780AC3A}"/>
    <cellStyle name="Normal 5 3 7 5" xfId="10334" xr:uid="{D1E6EAF7-DDF1-4865-A94F-FA506282738E}"/>
    <cellStyle name="Normal 5 3 8" xfId="1331" xr:uid="{00000000-0005-0000-0000-0000A41A0000}"/>
    <cellStyle name="Normal 5 3 8 2" xfId="3561" xr:uid="{00000000-0005-0000-0000-0000A51A0000}"/>
    <cellStyle name="Normal 5 3 8 2 2" xfId="7783" xr:uid="{00000000-0005-0000-0000-0000A61A0000}"/>
    <cellStyle name="Normal 5 3 8 2 2 2" xfId="17109" xr:uid="{14FFEF0E-2892-4E56-A57C-8E67DEA549A7}"/>
    <cellStyle name="Normal 5 3 8 2 3" xfId="12892" xr:uid="{6A73AE49-72B8-4995-91C3-153BC6B61A4F}"/>
    <cellStyle name="Normal 5 3 8 3" xfId="5638" xr:uid="{00000000-0005-0000-0000-0000A71A0000}"/>
    <cellStyle name="Normal 5 3 8 3 2" xfId="14964" xr:uid="{0E43D6A0-35E7-4E53-B816-022BAA488C21}"/>
    <cellStyle name="Normal 5 3 8 4" xfId="10747" xr:uid="{D3FAFD46-0CFB-4940-8681-83F7955349E0}"/>
    <cellStyle name="Normal 5 3 9" xfId="1744" xr:uid="{00000000-0005-0000-0000-0000A81A0000}"/>
    <cellStyle name="Normal 5 3 9 2" xfId="3974" xr:uid="{00000000-0005-0000-0000-0000A91A0000}"/>
    <cellStyle name="Normal 5 3 9 2 2" xfId="8196" xr:uid="{00000000-0005-0000-0000-0000AA1A0000}"/>
    <cellStyle name="Normal 5 3 9 2 2 2" xfId="17522" xr:uid="{2E365A05-F743-4CCB-B006-DED5EA78B91F}"/>
    <cellStyle name="Normal 5 3 9 2 3" xfId="13305" xr:uid="{CD3DFB53-A999-4F1E-9A6A-98EFDC05CFD7}"/>
    <cellStyle name="Normal 5 3 9 3" xfId="6051" xr:uid="{00000000-0005-0000-0000-0000AB1A0000}"/>
    <cellStyle name="Normal 5 3 9 3 2" xfId="15377" xr:uid="{BEA86E06-BA3C-4997-9D79-30018E9DF960}"/>
    <cellStyle name="Normal 5 3 9 4" xfId="11160" xr:uid="{9B21E244-2A42-4E81-9553-F84D0AA17CA5}"/>
    <cellStyle name="Normal 5 4" xfId="456" xr:uid="{00000000-0005-0000-0000-0000AC1A0000}"/>
    <cellStyle name="Normal 5 4 10" xfId="4828" xr:uid="{00000000-0005-0000-0000-0000AD1A0000}"/>
    <cellStyle name="Normal 5 4 10 2" xfId="14154" xr:uid="{7BC2930D-A28F-4044-95E4-83574147239A}"/>
    <cellStyle name="Normal 5 4 11" xfId="8773" xr:uid="{50472F80-32FD-428C-B078-8DE338D6CA16}"/>
    <cellStyle name="Normal 5 4 11 2" xfId="18097" xr:uid="{A81CEC9E-A570-439B-9855-E3E862825FB9}"/>
    <cellStyle name="Normal 5 4 12" xfId="9937" xr:uid="{8D5801AA-1E65-4A71-85A3-60DFD0FD9F0F}"/>
    <cellStyle name="Normal 5 4 2" xfId="457" xr:uid="{00000000-0005-0000-0000-0000AE1A0000}"/>
    <cellStyle name="Normal 5 4 2 10" xfId="8833" xr:uid="{6EA55230-8E5B-4EF6-B83C-8DF4202F8C31}"/>
    <cellStyle name="Normal 5 4 2 10 2" xfId="18157" xr:uid="{2F7C0DC8-79D8-4E3F-9606-CDC9D8E519DD}"/>
    <cellStyle name="Normal 5 4 2 11" xfId="9938" xr:uid="{E12D5E64-9AF4-42C0-A255-C2C594AFBC6E}"/>
    <cellStyle name="Normal 5 4 2 2" xfId="458" xr:uid="{00000000-0005-0000-0000-0000AF1A0000}"/>
    <cellStyle name="Normal 5 4 2 2 10" xfId="9939" xr:uid="{E9F22068-83F8-4201-81F2-A32D84E57FB4}"/>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2 2 2" xfId="16715" xr:uid="{0E1EBCC5-661A-40BE-90E6-CC0A77136A45}"/>
    <cellStyle name="Normal 5 4 2 2 2 2 2 3" xfId="12498" xr:uid="{2445AC71-52EF-45FA-9DC2-A4C929EFFF49}"/>
    <cellStyle name="Normal 5 4 2 2 2 2 3" xfId="5244" xr:uid="{00000000-0005-0000-0000-0000B41A0000}"/>
    <cellStyle name="Normal 5 4 2 2 2 2 3 2" xfId="14570" xr:uid="{22F42E4C-34DB-4495-B076-33FC35EC6ACE}"/>
    <cellStyle name="Normal 5 4 2 2 2 2 4" xfId="9568" xr:uid="{C9922021-D284-4633-BD4E-F2DB1197482A}"/>
    <cellStyle name="Normal 5 4 2 2 2 2 4 2" xfId="18883" xr:uid="{B42EF05E-49FF-4143-B644-CC694107E75C}"/>
    <cellStyle name="Normal 5 4 2 2 2 2 5" xfId="10353" xr:uid="{ED066699-7099-44B3-8A64-3B31425C640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2 2 2" xfId="17128" xr:uid="{6810CDA3-5654-4990-BDF2-0309026E5029}"/>
    <cellStyle name="Normal 5 4 2 2 2 3 2 3" xfId="12911" xr:uid="{A79AA25B-3E24-408B-BE50-73B2CD3DE6C4}"/>
    <cellStyle name="Normal 5 4 2 2 2 3 3" xfId="5657" xr:uid="{00000000-0005-0000-0000-0000B81A0000}"/>
    <cellStyle name="Normal 5 4 2 2 2 3 3 2" xfId="14983" xr:uid="{8CCDB0F4-6A5C-4C5C-AE42-3F019C77F065}"/>
    <cellStyle name="Normal 5 4 2 2 2 3 4" xfId="10766" xr:uid="{BA2A80B0-EC2B-4293-B01E-19A38D510597}"/>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2 2 2" xfId="17541" xr:uid="{76711292-DF9D-4FE8-86F9-20EA5E065EC4}"/>
    <cellStyle name="Normal 5 4 2 2 2 4 2 3" xfId="13324" xr:uid="{D7524913-0023-43E0-B491-E413510D617A}"/>
    <cellStyle name="Normal 5 4 2 2 2 4 3" xfId="6070" xr:uid="{00000000-0005-0000-0000-0000BC1A0000}"/>
    <cellStyle name="Normal 5 4 2 2 2 4 3 2" xfId="15396" xr:uid="{F995D282-FC79-4BF2-92F4-43EFFC0790DB}"/>
    <cellStyle name="Normal 5 4 2 2 2 4 4" xfId="11179" xr:uid="{D83C90E9-CA3F-474B-B935-E5F58ECF05E7}"/>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2 2 2" xfId="17954" xr:uid="{4148524A-4A67-4BEA-8596-AB8679EB0FF8}"/>
    <cellStyle name="Normal 5 4 2 2 2 5 2 3" xfId="13737" xr:uid="{132E581E-60F0-4D41-BBAD-5B196F298B37}"/>
    <cellStyle name="Normal 5 4 2 2 2 5 3" xfId="6483" xr:uid="{00000000-0005-0000-0000-0000C01A0000}"/>
    <cellStyle name="Normal 5 4 2 2 2 5 3 2" xfId="15809" xr:uid="{FF5B737F-8C05-4D5E-86CB-30B39FCC3365}"/>
    <cellStyle name="Normal 5 4 2 2 2 5 4" xfId="11592" xr:uid="{367CCC55-20C4-49F1-9A8A-32E9387F1DC1}"/>
    <cellStyle name="Normal 5 4 2 2 2 6" xfId="2613" xr:uid="{00000000-0005-0000-0000-0000C11A0000}"/>
    <cellStyle name="Normal 5 4 2 2 2 6 2" xfId="6896" xr:uid="{00000000-0005-0000-0000-0000C21A0000}"/>
    <cellStyle name="Normal 5 4 2 2 2 6 2 2" xfId="16222" xr:uid="{F4A5A705-640D-4E59-A942-BD06BB2CE6F8}"/>
    <cellStyle name="Normal 5 4 2 2 2 6 3" xfId="12005" xr:uid="{B72C61E4-F8D2-4A56-B418-548550B8D90A}"/>
    <cellStyle name="Normal 5 4 2 2 2 7" xfId="4831" xr:uid="{00000000-0005-0000-0000-0000C31A0000}"/>
    <cellStyle name="Normal 5 4 2 2 2 7 2" xfId="14157" xr:uid="{7A739791-43B8-4745-B3BF-9AA167B39709}"/>
    <cellStyle name="Normal 5 4 2 2 2 8" xfId="9143" xr:uid="{C8F15FA9-FDFE-4358-95A8-17B14299B14C}"/>
    <cellStyle name="Normal 5 4 2 2 2 8 2" xfId="18467" xr:uid="{B25C3AE3-80E3-4C27-8ECD-D15669A0C823}"/>
    <cellStyle name="Normal 5 4 2 2 2 9" xfId="9940" xr:uid="{EDCEBC83-1BF0-482C-8FAB-5C7E9E769740}"/>
    <cellStyle name="Normal 5 4 2 2 3" xfId="932" xr:uid="{00000000-0005-0000-0000-0000C41A0000}"/>
    <cellStyle name="Normal 5 4 2 2 3 2" xfId="3166" xr:uid="{00000000-0005-0000-0000-0000C51A0000}"/>
    <cellStyle name="Normal 5 4 2 2 3 2 2" xfId="7388" xr:uid="{00000000-0005-0000-0000-0000C61A0000}"/>
    <cellStyle name="Normal 5 4 2 2 3 2 2 2" xfId="16714" xr:uid="{D0FA6472-0DE2-4EF2-AAFB-671DD04B4866}"/>
    <cellStyle name="Normal 5 4 2 2 3 2 3" xfId="12497" xr:uid="{DE73C080-005D-4027-81C1-6CED941F91E6}"/>
    <cellStyle name="Normal 5 4 2 2 3 3" xfId="5243" xr:uid="{00000000-0005-0000-0000-0000C71A0000}"/>
    <cellStyle name="Normal 5 4 2 2 3 3 2" xfId="14569" xr:uid="{2C69A538-C4DB-4C8D-869C-341457F9871A}"/>
    <cellStyle name="Normal 5 4 2 2 3 4" xfId="9361" xr:uid="{421F0FC8-8E8F-498F-BD31-B00CB58D5B43}"/>
    <cellStyle name="Normal 5 4 2 2 3 4 2" xfId="18676" xr:uid="{A8DA7227-BA32-4C87-A5ED-307D22DF97A1}"/>
    <cellStyle name="Normal 5 4 2 2 3 5" xfId="10352" xr:uid="{C874DF76-6355-49C2-8543-BF6CC219ADE1}"/>
    <cellStyle name="Normal 5 4 2 2 4" xfId="1349" xr:uid="{00000000-0005-0000-0000-0000C81A0000}"/>
    <cellStyle name="Normal 5 4 2 2 4 2" xfId="3579" xr:uid="{00000000-0005-0000-0000-0000C91A0000}"/>
    <cellStyle name="Normal 5 4 2 2 4 2 2" xfId="7801" xr:uid="{00000000-0005-0000-0000-0000CA1A0000}"/>
    <cellStyle name="Normal 5 4 2 2 4 2 2 2" xfId="17127" xr:uid="{509DD731-E96F-4D73-B46D-5E68513A2088}"/>
    <cellStyle name="Normal 5 4 2 2 4 2 3" xfId="12910" xr:uid="{97524D12-C8FE-4D61-984D-24F14963F909}"/>
    <cellStyle name="Normal 5 4 2 2 4 3" xfId="5656" xr:uid="{00000000-0005-0000-0000-0000CB1A0000}"/>
    <cellStyle name="Normal 5 4 2 2 4 3 2" xfId="14982" xr:uid="{71913929-E112-4C18-9BFF-5FAA9E640C1C}"/>
    <cellStyle name="Normal 5 4 2 2 4 4" xfId="10765" xr:uid="{51B55A2E-ADBD-46EB-8C29-B5AF0C574D8D}"/>
    <cellStyle name="Normal 5 4 2 2 5" xfId="1762" xr:uid="{00000000-0005-0000-0000-0000CC1A0000}"/>
    <cellStyle name="Normal 5 4 2 2 5 2" xfId="3992" xr:uid="{00000000-0005-0000-0000-0000CD1A0000}"/>
    <cellStyle name="Normal 5 4 2 2 5 2 2" xfId="8214" xr:uid="{00000000-0005-0000-0000-0000CE1A0000}"/>
    <cellStyle name="Normal 5 4 2 2 5 2 2 2" xfId="17540" xr:uid="{13773968-3CD2-48E0-8488-9B43A597E07B}"/>
    <cellStyle name="Normal 5 4 2 2 5 2 3" xfId="13323" xr:uid="{D504869A-EBC3-42BB-B408-61052FDC2EF0}"/>
    <cellStyle name="Normal 5 4 2 2 5 3" xfId="6069" xr:uid="{00000000-0005-0000-0000-0000CF1A0000}"/>
    <cellStyle name="Normal 5 4 2 2 5 3 2" xfId="15395" xr:uid="{C73A2D49-18E8-4E6D-B4AB-ECC315C80AC9}"/>
    <cellStyle name="Normal 5 4 2 2 5 4" xfId="11178" xr:uid="{3E50475C-A624-446F-9F20-7D639896F7E5}"/>
    <cellStyle name="Normal 5 4 2 2 6" xfId="2176" xr:uid="{00000000-0005-0000-0000-0000D01A0000}"/>
    <cellStyle name="Normal 5 4 2 2 6 2" xfId="4405" xr:uid="{00000000-0005-0000-0000-0000D11A0000}"/>
    <cellStyle name="Normal 5 4 2 2 6 2 2" xfId="8627" xr:uid="{00000000-0005-0000-0000-0000D21A0000}"/>
    <cellStyle name="Normal 5 4 2 2 6 2 2 2" xfId="17953" xr:uid="{3ADC01D5-AD4D-42E1-8B0E-559E883EF574}"/>
    <cellStyle name="Normal 5 4 2 2 6 2 3" xfId="13736" xr:uid="{22AC8A41-5DE1-47D6-B7CF-59E6BED96FE2}"/>
    <cellStyle name="Normal 5 4 2 2 6 3" xfId="6482" xr:uid="{00000000-0005-0000-0000-0000D31A0000}"/>
    <cellStyle name="Normal 5 4 2 2 6 3 2" xfId="15808" xr:uid="{5F9683B3-F532-4F14-B327-5FC7757E9B2E}"/>
    <cellStyle name="Normal 5 4 2 2 6 4" xfId="11591" xr:uid="{98AD27BF-81D7-4324-B338-15C17C60B323}"/>
    <cellStyle name="Normal 5 4 2 2 7" xfId="2612" xr:uid="{00000000-0005-0000-0000-0000D41A0000}"/>
    <cellStyle name="Normal 5 4 2 2 7 2" xfId="6895" xr:uid="{00000000-0005-0000-0000-0000D51A0000}"/>
    <cellStyle name="Normal 5 4 2 2 7 2 2" xfId="16221" xr:uid="{96A9F6D5-1270-4C22-B086-069C28078349}"/>
    <cellStyle name="Normal 5 4 2 2 7 3" xfId="12004" xr:uid="{81CAA266-DFDB-4D6F-B947-27EE8D9D0D2B}"/>
    <cellStyle name="Normal 5 4 2 2 8" xfId="4830" xr:uid="{00000000-0005-0000-0000-0000D61A0000}"/>
    <cellStyle name="Normal 5 4 2 2 8 2" xfId="14156" xr:uid="{3465B2B4-47F9-4EF5-AFF6-B4EDD064CC2A}"/>
    <cellStyle name="Normal 5 4 2 2 9" xfId="8936" xr:uid="{31CF7A09-919D-40D2-B5FD-098CEA44D314}"/>
    <cellStyle name="Normal 5 4 2 2 9 2" xfId="18260" xr:uid="{A1B43F5C-40D7-45D3-9606-A23CEF744BD0}"/>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2 2 2" xfId="16716" xr:uid="{2D8FCB64-4F26-44F7-A4D1-2886D1997909}"/>
    <cellStyle name="Normal 5 4 2 3 2 2 3" xfId="12499" xr:uid="{47DBA544-11A4-4B8A-A4CC-E4ABA5AA7767}"/>
    <cellStyle name="Normal 5 4 2 3 2 3" xfId="5245" xr:uid="{00000000-0005-0000-0000-0000DB1A0000}"/>
    <cellStyle name="Normal 5 4 2 3 2 3 2" xfId="14571" xr:uid="{E84D9F5A-B2EA-49F0-BE41-D12EEEEDCF05}"/>
    <cellStyle name="Normal 5 4 2 3 2 4" xfId="9465" xr:uid="{B8459C73-266B-467B-A163-FFDFF015A460}"/>
    <cellStyle name="Normal 5 4 2 3 2 4 2" xfId="18780" xr:uid="{177851D9-1F1F-42D6-A48F-5FF434DF3667}"/>
    <cellStyle name="Normal 5 4 2 3 2 5" xfId="10354" xr:uid="{B535EF3A-B083-476B-A133-C563AF03FC7A}"/>
    <cellStyle name="Normal 5 4 2 3 3" xfId="1351" xr:uid="{00000000-0005-0000-0000-0000DC1A0000}"/>
    <cellStyle name="Normal 5 4 2 3 3 2" xfId="3581" xr:uid="{00000000-0005-0000-0000-0000DD1A0000}"/>
    <cellStyle name="Normal 5 4 2 3 3 2 2" xfId="7803" xr:uid="{00000000-0005-0000-0000-0000DE1A0000}"/>
    <cellStyle name="Normal 5 4 2 3 3 2 2 2" xfId="17129" xr:uid="{8512709B-A095-4F78-8B45-CEADE481566C}"/>
    <cellStyle name="Normal 5 4 2 3 3 2 3" xfId="12912" xr:uid="{F4E680EC-552F-4107-B3BF-BD323BF72869}"/>
    <cellStyle name="Normal 5 4 2 3 3 3" xfId="5658" xr:uid="{00000000-0005-0000-0000-0000DF1A0000}"/>
    <cellStyle name="Normal 5 4 2 3 3 3 2" xfId="14984" xr:uid="{1D8C518B-3545-4350-B86E-7391F76BD792}"/>
    <cellStyle name="Normal 5 4 2 3 3 4" xfId="10767" xr:uid="{BB2FBCFD-8CCA-41F8-9A88-220D2E595573}"/>
    <cellStyle name="Normal 5 4 2 3 4" xfId="1764" xr:uid="{00000000-0005-0000-0000-0000E01A0000}"/>
    <cellStyle name="Normal 5 4 2 3 4 2" xfId="3994" xr:uid="{00000000-0005-0000-0000-0000E11A0000}"/>
    <cellStyle name="Normal 5 4 2 3 4 2 2" xfId="8216" xr:uid="{00000000-0005-0000-0000-0000E21A0000}"/>
    <cellStyle name="Normal 5 4 2 3 4 2 2 2" xfId="17542" xr:uid="{2E73C1CF-5AF5-40EC-B02E-8482130DF4D7}"/>
    <cellStyle name="Normal 5 4 2 3 4 2 3" xfId="13325" xr:uid="{836C32E7-AAE3-4F5A-944E-889D2D197878}"/>
    <cellStyle name="Normal 5 4 2 3 4 3" xfId="6071" xr:uid="{00000000-0005-0000-0000-0000E31A0000}"/>
    <cellStyle name="Normal 5 4 2 3 4 3 2" xfId="15397" xr:uid="{E22F805C-00C4-4809-989A-B2C04A77922A}"/>
    <cellStyle name="Normal 5 4 2 3 4 4" xfId="11180" xr:uid="{402FBAA3-F9B8-4EF5-B14F-995DCE920020}"/>
    <cellStyle name="Normal 5 4 2 3 5" xfId="2178" xr:uid="{00000000-0005-0000-0000-0000E41A0000}"/>
    <cellStyle name="Normal 5 4 2 3 5 2" xfId="4407" xr:uid="{00000000-0005-0000-0000-0000E51A0000}"/>
    <cellStyle name="Normal 5 4 2 3 5 2 2" xfId="8629" xr:uid="{00000000-0005-0000-0000-0000E61A0000}"/>
    <cellStyle name="Normal 5 4 2 3 5 2 2 2" xfId="17955" xr:uid="{AE7EF8C3-CCFA-4A42-9DED-BC676E89A2D8}"/>
    <cellStyle name="Normal 5 4 2 3 5 2 3" xfId="13738" xr:uid="{8DC12495-A900-4023-8213-BC4816C6B14E}"/>
    <cellStyle name="Normal 5 4 2 3 5 3" xfId="6484" xr:uid="{00000000-0005-0000-0000-0000E71A0000}"/>
    <cellStyle name="Normal 5 4 2 3 5 3 2" xfId="15810" xr:uid="{D822D9E4-A7A7-4A3C-820D-7EF399B7E0A6}"/>
    <cellStyle name="Normal 5 4 2 3 5 4" xfId="11593" xr:uid="{F556632D-F708-489A-992E-6C847B1BE18E}"/>
    <cellStyle name="Normal 5 4 2 3 6" xfId="2614" xr:uid="{00000000-0005-0000-0000-0000E81A0000}"/>
    <cellStyle name="Normal 5 4 2 3 6 2" xfId="6897" xr:uid="{00000000-0005-0000-0000-0000E91A0000}"/>
    <cellStyle name="Normal 5 4 2 3 6 2 2" xfId="16223" xr:uid="{F7FF0D43-A059-421A-8FBE-C0B9CA0666F9}"/>
    <cellStyle name="Normal 5 4 2 3 6 3" xfId="12006" xr:uid="{508745CC-4DF7-4C60-8DD5-764AFB0E02F7}"/>
    <cellStyle name="Normal 5 4 2 3 7" xfId="4832" xr:uid="{00000000-0005-0000-0000-0000EA1A0000}"/>
    <cellStyle name="Normal 5 4 2 3 7 2" xfId="14158" xr:uid="{D7B3B5B3-835B-4D63-9660-6F4FF8863C29}"/>
    <cellStyle name="Normal 5 4 2 3 8" xfId="9040" xr:uid="{D68CAB17-BB41-4D9B-AA76-76FE511392DC}"/>
    <cellStyle name="Normal 5 4 2 3 8 2" xfId="18364" xr:uid="{F5F873A1-F4A0-407E-A8FC-5EC52BB90C8D}"/>
    <cellStyle name="Normal 5 4 2 3 9" xfId="9941" xr:uid="{2CF158F8-B8D4-4BD8-A1CD-A5ED4A0BD9FB}"/>
    <cellStyle name="Normal 5 4 2 4" xfId="931" xr:uid="{00000000-0005-0000-0000-0000EB1A0000}"/>
    <cellStyle name="Normal 5 4 2 4 2" xfId="3165" xr:uid="{00000000-0005-0000-0000-0000EC1A0000}"/>
    <cellStyle name="Normal 5 4 2 4 2 2" xfId="7387" xr:uid="{00000000-0005-0000-0000-0000ED1A0000}"/>
    <cellStyle name="Normal 5 4 2 4 2 2 2" xfId="16713" xr:uid="{7CB06502-178A-4DA1-A62B-B962A22A4038}"/>
    <cellStyle name="Normal 5 4 2 4 2 3" xfId="12496" xr:uid="{85E1EE1D-BE65-4860-ACA5-34F058506066}"/>
    <cellStyle name="Normal 5 4 2 4 3" xfId="5242" xr:uid="{00000000-0005-0000-0000-0000EE1A0000}"/>
    <cellStyle name="Normal 5 4 2 4 3 2" xfId="14568" xr:uid="{79F24D5D-9F09-4AB9-BF1F-190131E78B07}"/>
    <cellStyle name="Normal 5 4 2 4 4" xfId="9258" xr:uid="{971C48A9-8200-405B-A9BE-B3AFD2CDDA76}"/>
    <cellStyle name="Normal 5 4 2 4 4 2" xfId="18573" xr:uid="{389E4908-23B4-4030-94FD-D600014CC8A9}"/>
    <cellStyle name="Normal 5 4 2 4 5" xfId="10351" xr:uid="{98D876FB-88DF-40E0-A991-4485317D1A87}"/>
    <cellStyle name="Normal 5 4 2 5" xfId="1348" xr:uid="{00000000-0005-0000-0000-0000EF1A0000}"/>
    <cellStyle name="Normal 5 4 2 5 2" xfId="3578" xr:uid="{00000000-0005-0000-0000-0000F01A0000}"/>
    <cellStyle name="Normal 5 4 2 5 2 2" xfId="7800" xr:uid="{00000000-0005-0000-0000-0000F11A0000}"/>
    <cellStyle name="Normal 5 4 2 5 2 2 2" xfId="17126" xr:uid="{456754AA-C3D4-4525-81A4-79FD5D70EE8B}"/>
    <cellStyle name="Normal 5 4 2 5 2 3" xfId="12909" xr:uid="{872107E7-63C4-494D-9667-18CEAB95C935}"/>
    <cellStyle name="Normal 5 4 2 5 3" xfId="5655" xr:uid="{00000000-0005-0000-0000-0000F21A0000}"/>
    <cellStyle name="Normal 5 4 2 5 3 2" xfId="14981" xr:uid="{18B58F07-ADAC-4190-AFBB-BB54478FC270}"/>
    <cellStyle name="Normal 5 4 2 5 4" xfId="10764" xr:uid="{198691B6-7313-440B-9D27-3B84FAACD12F}"/>
    <cellStyle name="Normal 5 4 2 6" xfId="1761" xr:uid="{00000000-0005-0000-0000-0000F31A0000}"/>
    <cellStyle name="Normal 5 4 2 6 2" xfId="3991" xr:uid="{00000000-0005-0000-0000-0000F41A0000}"/>
    <cellStyle name="Normal 5 4 2 6 2 2" xfId="8213" xr:uid="{00000000-0005-0000-0000-0000F51A0000}"/>
    <cellStyle name="Normal 5 4 2 6 2 2 2" xfId="17539" xr:uid="{371E9C35-A6A8-4117-B165-E10F91D443A1}"/>
    <cellStyle name="Normal 5 4 2 6 2 3" xfId="13322" xr:uid="{21F0905A-CFDB-4CC1-8531-5FB6E2F682E8}"/>
    <cellStyle name="Normal 5 4 2 6 3" xfId="6068" xr:uid="{00000000-0005-0000-0000-0000F61A0000}"/>
    <cellStyle name="Normal 5 4 2 6 3 2" xfId="15394" xr:uid="{9C57123B-2BFC-4F97-B380-55889DF34FC7}"/>
    <cellStyle name="Normal 5 4 2 6 4" xfId="11177" xr:uid="{91188D44-5E0A-4DDF-8DD6-6A15C000CCF3}"/>
    <cellStyle name="Normal 5 4 2 7" xfId="2175" xr:uid="{00000000-0005-0000-0000-0000F71A0000}"/>
    <cellStyle name="Normal 5 4 2 7 2" xfId="4404" xr:uid="{00000000-0005-0000-0000-0000F81A0000}"/>
    <cellStyle name="Normal 5 4 2 7 2 2" xfId="8626" xr:uid="{00000000-0005-0000-0000-0000F91A0000}"/>
    <cellStyle name="Normal 5 4 2 7 2 2 2" xfId="17952" xr:uid="{AAF4E646-B5D8-47E2-A24B-E431A2D5489A}"/>
    <cellStyle name="Normal 5 4 2 7 2 3" xfId="13735" xr:uid="{FDEC2D6C-25AC-4B6C-814C-DA9E4A66C2D4}"/>
    <cellStyle name="Normal 5 4 2 7 3" xfId="6481" xr:uid="{00000000-0005-0000-0000-0000FA1A0000}"/>
    <cellStyle name="Normal 5 4 2 7 3 2" xfId="15807" xr:uid="{F81716F5-27A7-4B4D-9545-04A721D57291}"/>
    <cellStyle name="Normal 5 4 2 7 4" xfId="11590" xr:uid="{415DE9F3-3BD8-4D26-8E04-EFB125916C0A}"/>
    <cellStyle name="Normal 5 4 2 8" xfId="2611" xr:uid="{00000000-0005-0000-0000-0000FB1A0000}"/>
    <cellStyle name="Normal 5 4 2 8 2" xfId="6894" xr:uid="{00000000-0005-0000-0000-0000FC1A0000}"/>
    <cellStyle name="Normal 5 4 2 8 2 2" xfId="16220" xr:uid="{4CEB9874-C5EF-4DFD-A08B-85F76F645B8B}"/>
    <cellStyle name="Normal 5 4 2 8 3" xfId="12003" xr:uid="{0D24391F-B39B-4960-9154-EF434355BAC4}"/>
    <cellStyle name="Normal 5 4 2 9" xfId="4829" xr:uid="{00000000-0005-0000-0000-0000FD1A0000}"/>
    <cellStyle name="Normal 5 4 2 9 2" xfId="14155" xr:uid="{9F5CBCD2-A7CC-40C6-82B6-683B6D9EEF74}"/>
    <cellStyle name="Normal 5 4 3" xfId="461" xr:uid="{00000000-0005-0000-0000-0000FE1A0000}"/>
    <cellStyle name="Normal 5 4 3 10" xfId="9942" xr:uid="{F6BED382-E487-4DBD-93EE-CD2073F1A7FA}"/>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2 2 2" xfId="16718" xr:uid="{03A6F33E-6E0B-4A15-A8B3-B3C202FC617B}"/>
    <cellStyle name="Normal 5 4 3 2 2 2 3" xfId="12501" xr:uid="{CC7E4ACF-629E-40D3-B3F7-A43076F64BCE}"/>
    <cellStyle name="Normal 5 4 3 2 2 3" xfId="5247" xr:uid="{00000000-0005-0000-0000-0000031B0000}"/>
    <cellStyle name="Normal 5 4 3 2 2 3 2" xfId="14573" xr:uid="{F17EAA53-55B9-4E42-9B97-3347F2CA5EE2}"/>
    <cellStyle name="Normal 5 4 3 2 2 4" xfId="9508" xr:uid="{1F9B5A8F-2A45-43C5-9422-E8BC84424A55}"/>
    <cellStyle name="Normal 5 4 3 2 2 4 2" xfId="18823" xr:uid="{829E1DA8-A6C0-44E3-9929-6985DF89B321}"/>
    <cellStyle name="Normal 5 4 3 2 2 5" xfId="10356" xr:uid="{55283B57-3DE8-4329-AE2F-FD70772D0A9D}"/>
    <cellStyle name="Normal 5 4 3 2 3" xfId="1353" xr:uid="{00000000-0005-0000-0000-0000041B0000}"/>
    <cellStyle name="Normal 5 4 3 2 3 2" xfId="3583" xr:uid="{00000000-0005-0000-0000-0000051B0000}"/>
    <cellStyle name="Normal 5 4 3 2 3 2 2" xfId="7805" xr:uid="{00000000-0005-0000-0000-0000061B0000}"/>
    <cellStyle name="Normal 5 4 3 2 3 2 2 2" xfId="17131" xr:uid="{1CF8FD62-DFEC-44DE-9EBA-7DEA17C38F7D}"/>
    <cellStyle name="Normal 5 4 3 2 3 2 3" xfId="12914" xr:uid="{D4FCA3C5-E11E-4D39-9D09-91E8ED00EDE8}"/>
    <cellStyle name="Normal 5 4 3 2 3 3" xfId="5660" xr:uid="{00000000-0005-0000-0000-0000071B0000}"/>
    <cellStyle name="Normal 5 4 3 2 3 3 2" xfId="14986" xr:uid="{A91A82E6-E24B-4CA9-93B4-540C76D7D688}"/>
    <cellStyle name="Normal 5 4 3 2 3 4" xfId="10769" xr:uid="{685F2AB0-0A8F-4795-84B0-0C2D76232CD0}"/>
    <cellStyle name="Normal 5 4 3 2 4" xfId="1766" xr:uid="{00000000-0005-0000-0000-0000081B0000}"/>
    <cellStyle name="Normal 5 4 3 2 4 2" xfId="3996" xr:uid="{00000000-0005-0000-0000-0000091B0000}"/>
    <cellStyle name="Normal 5 4 3 2 4 2 2" xfId="8218" xr:uid="{00000000-0005-0000-0000-00000A1B0000}"/>
    <cellStyle name="Normal 5 4 3 2 4 2 2 2" xfId="17544" xr:uid="{10113570-7AFA-4FA4-AA49-913575ECAB86}"/>
    <cellStyle name="Normal 5 4 3 2 4 2 3" xfId="13327" xr:uid="{DE8D5F98-438E-43A9-8748-C923E79CC9CD}"/>
    <cellStyle name="Normal 5 4 3 2 4 3" xfId="6073" xr:uid="{00000000-0005-0000-0000-00000B1B0000}"/>
    <cellStyle name="Normal 5 4 3 2 4 3 2" xfId="15399" xr:uid="{7759A01F-6A4E-4E11-8718-8E31A847E9FF}"/>
    <cellStyle name="Normal 5 4 3 2 4 4" xfId="11182" xr:uid="{8F817C13-FCEB-49BF-A45C-15B658752A94}"/>
    <cellStyle name="Normal 5 4 3 2 5" xfId="2180" xr:uid="{00000000-0005-0000-0000-00000C1B0000}"/>
    <cellStyle name="Normal 5 4 3 2 5 2" xfId="4409" xr:uid="{00000000-0005-0000-0000-00000D1B0000}"/>
    <cellStyle name="Normal 5 4 3 2 5 2 2" xfId="8631" xr:uid="{00000000-0005-0000-0000-00000E1B0000}"/>
    <cellStyle name="Normal 5 4 3 2 5 2 2 2" xfId="17957" xr:uid="{C2AD3F02-4AC2-4F59-A72F-9D3583161B59}"/>
    <cellStyle name="Normal 5 4 3 2 5 2 3" xfId="13740" xr:uid="{58F73DEF-C907-48A1-B508-88404FDE611B}"/>
    <cellStyle name="Normal 5 4 3 2 5 3" xfId="6486" xr:uid="{00000000-0005-0000-0000-00000F1B0000}"/>
    <cellStyle name="Normal 5 4 3 2 5 3 2" xfId="15812" xr:uid="{6833A071-C772-44BC-A4E9-5F219A1BFA4C}"/>
    <cellStyle name="Normal 5 4 3 2 5 4" xfId="11595" xr:uid="{D90B7FDC-F92D-4194-9693-53B569EFA120}"/>
    <cellStyle name="Normal 5 4 3 2 6" xfId="2616" xr:uid="{00000000-0005-0000-0000-0000101B0000}"/>
    <cellStyle name="Normal 5 4 3 2 6 2" xfId="6899" xr:uid="{00000000-0005-0000-0000-0000111B0000}"/>
    <cellStyle name="Normal 5 4 3 2 6 2 2" xfId="16225" xr:uid="{4D2AE041-EDB5-443F-912E-62BFB6884886}"/>
    <cellStyle name="Normal 5 4 3 2 6 3" xfId="12008" xr:uid="{E8780FC3-6EB9-4300-9674-FAF3A77590DF}"/>
    <cellStyle name="Normal 5 4 3 2 7" xfId="4834" xr:uid="{00000000-0005-0000-0000-0000121B0000}"/>
    <cellStyle name="Normal 5 4 3 2 7 2" xfId="14160" xr:uid="{0613534C-F7AA-4AA4-844F-A52E42C8F11F}"/>
    <cellStyle name="Normal 5 4 3 2 8" xfId="9083" xr:uid="{206384C8-6AD8-4D28-8F99-3033A80D68FC}"/>
    <cellStyle name="Normal 5 4 3 2 8 2" xfId="18407" xr:uid="{BFD36DEF-F621-4AE4-AB09-A7C6D1E09284}"/>
    <cellStyle name="Normal 5 4 3 2 9" xfId="9943" xr:uid="{E1A9B117-0A98-4F5C-8364-03CEE81018BC}"/>
    <cellStyle name="Normal 5 4 3 3" xfId="935" xr:uid="{00000000-0005-0000-0000-0000131B0000}"/>
    <cellStyle name="Normal 5 4 3 3 2" xfId="3169" xr:uid="{00000000-0005-0000-0000-0000141B0000}"/>
    <cellStyle name="Normal 5 4 3 3 2 2" xfId="7391" xr:uid="{00000000-0005-0000-0000-0000151B0000}"/>
    <cellStyle name="Normal 5 4 3 3 2 2 2" xfId="16717" xr:uid="{A0169462-6989-4412-AA61-BA311F8C2FDC}"/>
    <cellStyle name="Normal 5 4 3 3 2 3" xfId="12500" xr:uid="{3378403A-707A-46A6-B2F2-C12807DB4A55}"/>
    <cellStyle name="Normal 5 4 3 3 3" xfId="5246" xr:uid="{00000000-0005-0000-0000-0000161B0000}"/>
    <cellStyle name="Normal 5 4 3 3 3 2" xfId="14572" xr:uid="{5EC41CB7-D2C8-46BA-B52C-F86085C67FDA}"/>
    <cellStyle name="Normal 5 4 3 3 4" xfId="9301" xr:uid="{CB02BBE7-2E3D-4C67-A62E-BA84DE882039}"/>
    <cellStyle name="Normal 5 4 3 3 4 2" xfId="18616" xr:uid="{D2D5BB53-73EF-4958-B323-155060CE14B8}"/>
    <cellStyle name="Normal 5 4 3 3 5" xfId="10355" xr:uid="{F12C91A1-50B6-4257-8250-5AA45F6708DA}"/>
    <cellStyle name="Normal 5 4 3 4" xfId="1352" xr:uid="{00000000-0005-0000-0000-0000171B0000}"/>
    <cellStyle name="Normal 5 4 3 4 2" xfId="3582" xr:uid="{00000000-0005-0000-0000-0000181B0000}"/>
    <cellStyle name="Normal 5 4 3 4 2 2" xfId="7804" xr:uid="{00000000-0005-0000-0000-0000191B0000}"/>
    <cellStyle name="Normal 5 4 3 4 2 2 2" xfId="17130" xr:uid="{F42493BF-D443-419C-902C-5EA6DA3047F6}"/>
    <cellStyle name="Normal 5 4 3 4 2 3" xfId="12913" xr:uid="{577BC4BC-0079-4452-88C5-8DD073528C41}"/>
    <cellStyle name="Normal 5 4 3 4 3" xfId="5659" xr:uid="{00000000-0005-0000-0000-00001A1B0000}"/>
    <cellStyle name="Normal 5 4 3 4 3 2" xfId="14985" xr:uid="{93270818-1B3F-460B-9DF6-1A106372B8F1}"/>
    <cellStyle name="Normal 5 4 3 4 4" xfId="10768" xr:uid="{FF52180D-D9C0-403F-94D0-497313BE210B}"/>
    <cellStyle name="Normal 5 4 3 5" xfId="1765" xr:uid="{00000000-0005-0000-0000-00001B1B0000}"/>
    <cellStyle name="Normal 5 4 3 5 2" xfId="3995" xr:uid="{00000000-0005-0000-0000-00001C1B0000}"/>
    <cellStyle name="Normal 5 4 3 5 2 2" xfId="8217" xr:uid="{00000000-0005-0000-0000-00001D1B0000}"/>
    <cellStyle name="Normal 5 4 3 5 2 2 2" xfId="17543" xr:uid="{5C707789-CF1D-42F9-8DD4-27847A6F1837}"/>
    <cellStyle name="Normal 5 4 3 5 2 3" xfId="13326" xr:uid="{07B8CFB6-DD62-461B-94C1-E69F430D7092}"/>
    <cellStyle name="Normal 5 4 3 5 3" xfId="6072" xr:uid="{00000000-0005-0000-0000-00001E1B0000}"/>
    <cellStyle name="Normal 5 4 3 5 3 2" xfId="15398" xr:uid="{5CFE19EB-CA76-47FA-BC16-DD9932DA933A}"/>
    <cellStyle name="Normal 5 4 3 5 4" xfId="11181" xr:uid="{B2FB9266-C3BE-487C-B60F-40C9DFDAA7C8}"/>
    <cellStyle name="Normal 5 4 3 6" xfId="2179" xr:uid="{00000000-0005-0000-0000-00001F1B0000}"/>
    <cellStyle name="Normal 5 4 3 6 2" xfId="4408" xr:uid="{00000000-0005-0000-0000-0000201B0000}"/>
    <cellStyle name="Normal 5 4 3 6 2 2" xfId="8630" xr:uid="{00000000-0005-0000-0000-0000211B0000}"/>
    <cellStyle name="Normal 5 4 3 6 2 2 2" xfId="17956" xr:uid="{367BC265-E6BE-4A62-82BC-065269F38494}"/>
    <cellStyle name="Normal 5 4 3 6 2 3" xfId="13739" xr:uid="{34620329-4B1A-404B-8092-3578B42801BF}"/>
    <cellStyle name="Normal 5 4 3 6 3" xfId="6485" xr:uid="{00000000-0005-0000-0000-0000221B0000}"/>
    <cellStyle name="Normal 5 4 3 6 3 2" xfId="15811" xr:uid="{5AA4A50B-AF0D-48A2-A017-6362ED2787A6}"/>
    <cellStyle name="Normal 5 4 3 6 4" xfId="11594" xr:uid="{DF4D20EA-CF81-449B-B07A-764012ED11C5}"/>
    <cellStyle name="Normal 5 4 3 7" xfId="2615" xr:uid="{00000000-0005-0000-0000-0000231B0000}"/>
    <cellStyle name="Normal 5 4 3 7 2" xfId="6898" xr:uid="{00000000-0005-0000-0000-0000241B0000}"/>
    <cellStyle name="Normal 5 4 3 7 2 2" xfId="16224" xr:uid="{256FDA62-B122-497A-934E-A8C700BC12BE}"/>
    <cellStyle name="Normal 5 4 3 7 3" xfId="12007" xr:uid="{FA4D443B-46F7-4C45-AF93-3AE5330CF280}"/>
    <cellStyle name="Normal 5 4 3 8" xfId="4833" xr:uid="{00000000-0005-0000-0000-0000251B0000}"/>
    <cellStyle name="Normal 5 4 3 8 2" xfId="14159" xr:uid="{8E594884-E0E8-4CF2-AB87-2C237C2A2799}"/>
    <cellStyle name="Normal 5 4 3 9" xfId="8876" xr:uid="{D636A598-175F-46A4-8005-1A20EC6CCEC9}"/>
    <cellStyle name="Normal 5 4 3 9 2" xfId="18200" xr:uid="{F7E5ABF0-84F9-4756-B963-CD09CDEF0B8D}"/>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2 2 2" xfId="16719" xr:uid="{0A28D4E1-E50A-4306-9998-66B78560D755}"/>
    <cellStyle name="Normal 5 4 4 2 2 3" xfId="12502" xr:uid="{3A9BE116-41AA-4AB2-85DA-90AFE40F8093}"/>
    <cellStyle name="Normal 5 4 4 2 3" xfId="5248" xr:uid="{00000000-0005-0000-0000-00002A1B0000}"/>
    <cellStyle name="Normal 5 4 4 2 3 2" xfId="14574" xr:uid="{E2C53A84-44E7-472D-B779-D1D8A560954C}"/>
    <cellStyle name="Normal 5 4 4 2 4" xfId="9405" xr:uid="{F05DE0DC-A0AA-4CEB-9ABC-0D70F781B819}"/>
    <cellStyle name="Normal 5 4 4 2 4 2" xfId="18720" xr:uid="{38BFEB7D-7CAD-4720-BFC6-5FC375316119}"/>
    <cellStyle name="Normal 5 4 4 2 5" xfId="10357" xr:uid="{4CFDA297-944E-45D9-8296-8F1286AF2C46}"/>
    <cellStyle name="Normal 5 4 4 3" xfId="1354" xr:uid="{00000000-0005-0000-0000-00002B1B0000}"/>
    <cellStyle name="Normal 5 4 4 3 2" xfId="3584" xr:uid="{00000000-0005-0000-0000-00002C1B0000}"/>
    <cellStyle name="Normal 5 4 4 3 2 2" xfId="7806" xr:uid="{00000000-0005-0000-0000-00002D1B0000}"/>
    <cellStyle name="Normal 5 4 4 3 2 2 2" xfId="17132" xr:uid="{00345890-A61D-48D6-A66F-400401986B43}"/>
    <cellStyle name="Normal 5 4 4 3 2 3" xfId="12915" xr:uid="{603E7395-970C-4691-B391-5B1A292EF506}"/>
    <cellStyle name="Normal 5 4 4 3 3" xfId="5661" xr:uid="{00000000-0005-0000-0000-00002E1B0000}"/>
    <cellStyle name="Normal 5 4 4 3 3 2" xfId="14987" xr:uid="{8EFB8E33-98B3-4340-AC18-0CAD7CA446B5}"/>
    <cellStyle name="Normal 5 4 4 3 4" xfId="10770" xr:uid="{651DB8B9-15CC-4505-B134-A17D0FC90D3C}"/>
    <cellStyle name="Normal 5 4 4 4" xfId="1767" xr:uid="{00000000-0005-0000-0000-00002F1B0000}"/>
    <cellStyle name="Normal 5 4 4 4 2" xfId="3997" xr:uid="{00000000-0005-0000-0000-0000301B0000}"/>
    <cellStyle name="Normal 5 4 4 4 2 2" xfId="8219" xr:uid="{00000000-0005-0000-0000-0000311B0000}"/>
    <cellStyle name="Normal 5 4 4 4 2 2 2" xfId="17545" xr:uid="{02F15678-866A-4EDF-BF0B-3F493225FF5C}"/>
    <cellStyle name="Normal 5 4 4 4 2 3" xfId="13328" xr:uid="{545F843B-B4E6-4590-8092-39AC8BE8F675}"/>
    <cellStyle name="Normal 5 4 4 4 3" xfId="6074" xr:uid="{00000000-0005-0000-0000-0000321B0000}"/>
    <cellStyle name="Normal 5 4 4 4 3 2" xfId="15400" xr:uid="{E481FF09-6CE2-4EAC-BCD6-999587088D1D}"/>
    <cellStyle name="Normal 5 4 4 4 4" xfId="11183" xr:uid="{F4AD07A1-FCE7-46D8-B52F-716B6EDD8915}"/>
    <cellStyle name="Normal 5 4 4 5" xfId="2181" xr:uid="{00000000-0005-0000-0000-0000331B0000}"/>
    <cellStyle name="Normal 5 4 4 5 2" xfId="4410" xr:uid="{00000000-0005-0000-0000-0000341B0000}"/>
    <cellStyle name="Normal 5 4 4 5 2 2" xfId="8632" xr:uid="{00000000-0005-0000-0000-0000351B0000}"/>
    <cellStyle name="Normal 5 4 4 5 2 2 2" xfId="17958" xr:uid="{F1820E94-08FA-4950-BD78-2274B16D5B9F}"/>
    <cellStyle name="Normal 5 4 4 5 2 3" xfId="13741" xr:uid="{C7F2A9DC-8B8A-4C22-A882-112A36BE416F}"/>
    <cellStyle name="Normal 5 4 4 5 3" xfId="6487" xr:uid="{00000000-0005-0000-0000-0000361B0000}"/>
    <cellStyle name="Normal 5 4 4 5 3 2" xfId="15813" xr:uid="{55A59E40-F991-426D-B681-C3BE66F63BCC}"/>
    <cellStyle name="Normal 5 4 4 5 4" xfId="11596" xr:uid="{2E515EFD-CA09-47D6-BD5A-98A35EFB5367}"/>
    <cellStyle name="Normal 5 4 4 6" xfId="2617" xr:uid="{00000000-0005-0000-0000-0000371B0000}"/>
    <cellStyle name="Normal 5 4 4 6 2" xfId="6900" xr:uid="{00000000-0005-0000-0000-0000381B0000}"/>
    <cellStyle name="Normal 5 4 4 6 2 2" xfId="16226" xr:uid="{186A4492-8101-4553-BC33-653AEBF22922}"/>
    <cellStyle name="Normal 5 4 4 6 3" xfId="12009" xr:uid="{B3BBB911-C84E-4D91-B5FC-0FD7A3B2257A}"/>
    <cellStyle name="Normal 5 4 4 7" xfId="4835" xr:uid="{00000000-0005-0000-0000-0000391B0000}"/>
    <cellStyle name="Normal 5 4 4 7 2" xfId="14161" xr:uid="{6303F97E-5822-4E6F-AAB9-579BA00733FF}"/>
    <cellStyle name="Normal 5 4 4 8" xfId="8980" xr:uid="{B1DB48A4-94CB-4CC2-8D4B-8FD478363D48}"/>
    <cellStyle name="Normal 5 4 4 8 2" xfId="18304" xr:uid="{F3AE265B-D18D-424C-9C79-097D162451C2}"/>
    <cellStyle name="Normal 5 4 4 9" xfId="9944" xr:uid="{96BAE96C-F514-42BF-9C2B-80B0548C56CD}"/>
    <cellStyle name="Normal 5 4 5" xfId="930" xr:uid="{00000000-0005-0000-0000-00003A1B0000}"/>
    <cellStyle name="Normal 5 4 5 2" xfId="3164" xr:uid="{00000000-0005-0000-0000-00003B1B0000}"/>
    <cellStyle name="Normal 5 4 5 2 2" xfId="7386" xr:uid="{00000000-0005-0000-0000-00003C1B0000}"/>
    <cellStyle name="Normal 5 4 5 2 2 2" xfId="16712" xr:uid="{300C912F-84ED-4E87-9DA4-55FB04CACEC0}"/>
    <cellStyle name="Normal 5 4 5 2 3" xfId="12495" xr:uid="{2D2B9F9D-9C8E-408C-94DB-C0F01C4A0B8F}"/>
    <cellStyle name="Normal 5 4 5 3" xfId="5241" xr:uid="{00000000-0005-0000-0000-00003D1B0000}"/>
    <cellStyle name="Normal 5 4 5 3 2" xfId="14567" xr:uid="{10B8D2AF-FFFA-44B3-A92B-54699C49EC1B}"/>
    <cellStyle name="Normal 5 4 5 4" xfId="9197" xr:uid="{44FF0EFB-444B-4C40-B695-8C256ADB5563}"/>
    <cellStyle name="Normal 5 4 5 4 2" xfId="18513" xr:uid="{508C75FD-CEBB-4067-BE6B-C7115A5AB91C}"/>
    <cellStyle name="Normal 5 4 5 5" xfId="10350" xr:uid="{F01DFDB5-BB91-478A-AF50-AD114C5678AB}"/>
    <cellStyle name="Normal 5 4 6" xfId="1347" xr:uid="{00000000-0005-0000-0000-00003E1B0000}"/>
    <cellStyle name="Normal 5 4 6 2" xfId="3577" xr:uid="{00000000-0005-0000-0000-00003F1B0000}"/>
    <cellStyle name="Normal 5 4 6 2 2" xfId="7799" xr:uid="{00000000-0005-0000-0000-0000401B0000}"/>
    <cellStyle name="Normal 5 4 6 2 2 2" xfId="17125" xr:uid="{84722D69-47BB-4BA6-A88B-8414E4EEA998}"/>
    <cellStyle name="Normal 5 4 6 2 3" xfId="12908" xr:uid="{7C69022B-91EB-4615-9A8D-0CF86EAA65C5}"/>
    <cellStyle name="Normal 5 4 6 3" xfId="5654" xr:uid="{00000000-0005-0000-0000-0000411B0000}"/>
    <cellStyle name="Normal 5 4 6 3 2" xfId="14980" xr:uid="{8E86B4D8-3D29-4230-A6A7-80BD6305EFA5}"/>
    <cellStyle name="Normal 5 4 6 4" xfId="10763" xr:uid="{73F25E07-F25A-4A50-871F-D0F8926DB99C}"/>
    <cellStyle name="Normal 5 4 7" xfId="1760" xr:uid="{00000000-0005-0000-0000-0000421B0000}"/>
    <cellStyle name="Normal 5 4 7 2" xfId="3990" xr:uid="{00000000-0005-0000-0000-0000431B0000}"/>
    <cellStyle name="Normal 5 4 7 2 2" xfId="8212" xr:uid="{00000000-0005-0000-0000-0000441B0000}"/>
    <cellStyle name="Normal 5 4 7 2 2 2" xfId="17538" xr:uid="{CB17C187-83E5-443C-9675-001AFF94C037}"/>
    <cellStyle name="Normal 5 4 7 2 3" xfId="13321" xr:uid="{9A5804B0-7820-462C-96F8-59423086D9DF}"/>
    <cellStyle name="Normal 5 4 7 3" xfId="6067" xr:uid="{00000000-0005-0000-0000-0000451B0000}"/>
    <cellStyle name="Normal 5 4 7 3 2" xfId="15393" xr:uid="{530BA774-4001-4973-B05F-F91745740ECC}"/>
    <cellStyle name="Normal 5 4 7 4" xfId="11176" xr:uid="{8625A5CD-B94E-45C6-90DC-1A72A099207B}"/>
    <cellStyle name="Normal 5 4 8" xfId="2174" xr:uid="{00000000-0005-0000-0000-0000461B0000}"/>
    <cellStyle name="Normal 5 4 8 2" xfId="4403" xr:uid="{00000000-0005-0000-0000-0000471B0000}"/>
    <cellStyle name="Normal 5 4 8 2 2" xfId="8625" xr:uid="{00000000-0005-0000-0000-0000481B0000}"/>
    <cellStyle name="Normal 5 4 8 2 2 2" xfId="17951" xr:uid="{8F16E845-6EE2-494A-BEA4-B889C27638C0}"/>
    <cellStyle name="Normal 5 4 8 2 3" xfId="13734" xr:uid="{746DFBB2-23A3-40D0-AC45-56A3A9588212}"/>
    <cellStyle name="Normal 5 4 8 3" xfId="6480" xr:uid="{00000000-0005-0000-0000-0000491B0000}"/>
    <cellStyle name="Normal 5 4 8 3 2" xfId="15806" xr:uid="{FA8A2B98-D386-4D45-A662-C20B7F297BC3}"/>
    <cellStyle name="Normal 5 4 8 4" xfId="11589" xr:uid="{0AF6612A-E2BF-4638-98CB-A4D5D04558B3}"/>
    <cellStyle name="Normal 5 4 9" xfId="2610" xr:uid="{00000000-0005-0000-0000-00004A1B0000}"/>
    <cellStyle name="Normal 5 4 9 2" xfId="6893" xr:uid="{00000000-0005-0000-0000-00004B1B0000}"/>
    <cellStyle name="Normal 5 4 9 2 2" xfId="16219" xr:uid="{4D1F22AF-5A80-480B-BDF1-3BBE3F0B7974}"/>
    <cellStyle name="Normal 5 4 9 3" xfId="12002" xr:uid="{9860EE62-7478-4C37-A34D-E5E22DC9781D}"/>
    <cellStyle name="Normal 5 5" xfId="464" xr:uid="{00000000-0005-0000-0000-00004C1B0000}"/>
    <cellStyle name="Normal 5 5 10" xfId="8826" xr:uid="{5746674A-546A-44BF-97FB-6D298BF3AD61}"/>
    <cellStyle name="Normal 5 5 10 2" xfId="18150" xr:uid="{C3C723B7-D77D-48E6-BCE3-36A5CFF7A0C4}"/>
    <cellStyle name="Normal 5 5 11" xfId="9945" xr:uid="{4EFE2091-4625-42CB-8756-25D31C227127}"/>
    <cellStyle name="Normal 5 5 2" xfId="465" xr:uid="{00000000-0005-0000-0000-00004D1B0000}"/>
    <cellStyle name="Normal 5 5 2 10" xfId="9946" xr:uid="{3544CD85-B72E-40B6-B099-41EAF30FCA22}"/>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2 2 2" xfId="16722" xr:uid="{089F1FE6-EE47-427B-A456-FDB721C4E553}"/>
    <cellStyle name="Normal 5 5 2 2 2 2 3" xfId="12505" xr:uid="{181218BD-9ABE-4C77-A329-11E7FDEF7779}"/>
    <cellStyle name="Normal 5 5 2 2 2 3" xfId="5251" xr:uid="{00000000-0005-0000-0000-0000521B0000}"/>
    <cellStyle name="Normal 5 5 2 2 2 3 2" xfId="14577" xr:uid="{5A1BDF65-C107-4CB9-80B5-5BC9D6F9A5EB}"/>
    <cellStyle name="Normal 5 5 2 2 2 4" xfId="9561" xr:uid="{FF1EB4DD-E23E-4228-816B-D59B021F724D}"/>
    <cellStyle name="Normal 5 5 2 2 2 4 2" xfId="18876" xr:uid="{6B704AA7-8E0D-4BF9-80D0-9E35B1CDF94E}"/>
    <cellStyle name="Normal 5 5 2 2 2 5" xfId="10360" xr:uid="{681637BB-3D7B-4FB3-95AC-312445F96A47}"/>
    <cellStyle name="Normal 5 5 2 2 3" xfId="1357" xr:uid="{00000000-0005-0000-0000-0000531B0000}"/>
    <cellStyle name="Normal 5 5 2 2 3 2" xfId="3587" xr:uid="{00000000-0005-0000-0000-0000541B0000}"/>
    <cellStyle name="Normal 5 5 2 2 3 2 2" xfId="7809" xr:uid="{00000000-0005-0000-0000-0000551B0000}"/>
    <cellStyle name="Normal 5 5 2 2 3 2 2 2" xfId="17135" xr:uid="{25B3FDF3-CBC8-4A2E-B59D-F1FF176DC0B4}"/>
    <cellStyle name="Normal 5 5 2 2 3 2 3" xfId="12918" xr:uid="{66C770E3-ACF0-4CE5-ADF9-6B6F2CE32100}"/>
    <cellStyle name="Normal 5 5 2 2 3 3" xfId="5664" xr:uid="{00000000-0005-0000-0000-0000561B0000}"/>
    <cellStyle name="Normal 5 5 2 2 3 3 2" xfId="14990" xr:uid="{7E050181-4BBF-4708-A007-A0B1710830D6}"/>
    <cellStyle name="Normal 5 5 2 2 3 4" xfId="10773" xr:uid="{D312FE82-9AB9-4087-ADF9-A075C7B5A7FA}"/>
    <cellStyle name="Normal 5 5 2 2 4" xfId="1770" xr:uid="{00000000-0005-0000-0000-0000571B0000}"/>
    <cellStyle name="Normal 5 5 2 2 4 2" xfId="4000" xr:uid="{00000000-0005-0000-0000-0000581B0000}"/>
    <cellStyle name="Normal 5 5 2 2 4 2 2" xfId="8222" xr:uid="{00000000-0005-0000-0000-0000591B0000}"/>
    <cellStyle name="Normal 5 5 2 2 4 2 2 2" xfId="17548" xr:uid="{E2C060FE-A5F6-46C1-B862-F032D9AF7BA0}"/>
    <cellStyle name="Normal 5 5 2 2 4 2 3" xfId="13331" xr:uid="{B4C15464-E175-4712-B055-1E92C9407F02}"/>
    <cellStyle name="Normal 5 5 2 2 4 3" xfId="6077" xr:uid="{00000000-0005-0000-0000-00005A1B0000}"/>
    <cellStyle name="Normal 5 5 2 2 4 3 2" xfId="15403" xr:uid="{67D75DB0-29EB-40BF-92DA-081EBA24553B}"/>
    <cellStyle name="Normal 5 5 2 2 4 4" xfId="11186" xr:uid="{CE7504EA-91B2-4D03-B5B3-27FABD9040E9}"/>
    <cellStyle name="Normal 5 5 2 2 5" xfId="2184" xr:uid="{00000000-0005-0000-0000-00005B1B0000}"/>
    <cellStyle name="Normal 5 5 2 2 5 2" xfId="4413" xr:uid="{00000000-0005-0000-0000-00005C1B0000}"/>
    <cellStyle name="Normal 5 5 2 2 5 2 2" xfId="8635" xr:uid="{00000000-0005-0000-0000-00005D1B0000}"/>
    <cellStyle name="Normal 5 5 2 2 5 2 2 2" xfId="17961" xr:uid="{5AA56969-3653-43CA-96EE-5D922F7537AF}"/>
    <cellStyle name="Normal 5 5 2 2 5 2 3" xfId="13744" xr:uid="{9EFF2EFF-B12B-4E01-BA8B-FFAB17ABA7A3}"/>
    <cellStyle name="Normal 5 5 2 2 5 3" xfId="6490" xr:uid="{00000000-0005-0000-0000-00005E1B0000}"/>
    <cellStyle name="Normal 5 5 2 2 5 3 2" xfId="15816" xr:uid="{C0C1EFAC-686B-4B08-BF71-5BADB96ABA4E}"/>
    <cellStyle name="Normal 5 5 2 2 5 4" xfId="11599" xr:uid="{A637B888-D70D-4582-B60B-B521782A5B9D}"/>
    <cellStyle name="Normal 5 5 2 2 6" xfId="2620" xr:uid="{00000000-0005-0000-0000-00005F1B0000}"/>
    <cellStyle name="Normal 5 5 2 2 6 2" xfId="6903" xr:uid="{00000000-0005-0000-0000-0000601B0000}"/>
    <cellStyle name="Normal 5 5 2 2 6 2 2" xfId="16229" xr:uid="{0CB7A4A5-642B-41AA-BB84-C27F33DF546E}"/>
    <cellStyle name="Normal 5 5 2 2 6 3" xfId="12012" xr:uid="{B8EC46B1-359F-4B3A-86BD-7678673FA84D}"/>
    <cellStyle name="Normal 5 5 2 2 7" xfId="4838" xr:uid="{00000000-0005-0000-0000-0000611B0000}"/>
    <cellStyle name="Normal 5 5 2 2 7 2" xfId="14164" xr:uid="{8EBC0CA4-844A-4D2D-9755-7A921EFDB812}"/>
    <cellStyle name="Normal 5 5 2 2 8" xfId="9136" xr:uid="{D41453B5-3BE6-4F01-B336-45A274529844}"/>
    <cellStyle name="Normal 5 5 2 2 8 2" xfId="18460" xr:uid="{6F4441A3-D629-4E3C-960B-42CC40BB15ED}"/>
    <cellStyle name="Normal 5 5 2 2 9" xfId="9947" xr:uid="{AEE70234-A0A2-48A1-B7DF-995BD5BBCBA9}"/>
    <cellStyle name="Normal 5 5 2 3" xfId="939" xr:uid="{00000000-0005-0000-0000-0000621B0000}"/>
    <cellStyle name="Normal 5 5 2 3 2" xfId="3173" xr:uid="{00000000-0005-0000-0000-0000631B0000}"/>
    <cellStyle name="Normal 5 5 2 3 2 2" xfId="7395" xr:uid="{00000000-0005-0000-0000-0000641B0000}"/>
    <cellStyle name="Normal 5 5 2 3 2 2 2" xfId="16721" xr:uid="{051DD914-78C4-4415-95BA-A7CA828C4084}"/>
    <cellStyle name="Normal 5 5 2 3 2 3" xfId="12504" xr:uid="{F426F820-C445-40A4-B915-1F4C638ADD00}"/>
    <cellStyle name="Normal 5 5 2 3 3" xfId="5250" xr:uid="{00000000-0005-0000-0000-0000651B0000}"/>
    <cellStyle name="Normal 5 5 2 3 3 2" xfId="14576" xr:uid="{B86C6E40-9373-4DF4-818A-C62C35CF2C0C}"/>
    <cellStyle name="Normal 5 5 2 3 4" xfId="9354" xr:uid="{3251F49D-E700-469D-9840-28045D408641}"/>
    <cellStyle name="Normal 5 5 2 3 4 2" xfId="18669" xr:uid="{709B3F81-230C-4DBF-A827-13972B48AEE7}"/>
    <cellStyle name="Normal 5 5 2 3 5" xfId="10359" xr:uid="{0F60D56E-4F72-40EC-8B20-C6A1BA1430D8}"/>
    <cellStyle name="Normal 5 5 2 4" xfId="1356" xr:uid="{00000000-0005-0000-0000-0000661B0000}"/>
    <cellStyle name="Normal 5 5 2 4 2" xfId="3586" xr:uid="{00000000-0005-0000-0000-0000671B0000}"/>
    <cellStyle name="Normal 5 5 2 4 2 2" xfId="7808" xr:uid="{00000000-0005-0000-0000-0000681B0000}"/>
    <cellStyle name="Normal 5 5 2 4 2 2 2" xfId="17134" xr:uid="{D9DD6521-AB5C-43AD-A119-3C9642F1A586}"/>
    <cellStyle name="Normal 5 5 2 4 2 3" xfId="12917" xr:uid="{8716DE6E-D3C8-428A-AD6C-D891E5D660E0}"/>
    <cellStyle name="Normal 5 5 2 4 3" xfId="5663" xr:uid="{00000000-0005-0000-0000-0000691B0000}"/>
    <cellStyle name="Normal 5 5 2 4 3 2" xfId="14989" xr:uid="{73701E2A-5A66-4C41-8C62-89A87E284488}"/>
    <cellStyle name="Normal 5 5 2 4 4" xfId="10772" xr:uid="{B654A2BD-28AC-4EE4-9C9E-DF5FE1283466}"/>
    <cellStyle name="Normal 5 5 2 5" xfId="1769" xr:uid="{00000000-0005-0000-0000-00006A1B0000}"/>
    <cellStyle name="Normal 5 5 2 5 2" xfId="3999" xr:uid="{00000000-0005-0000-0000-00006B1B0000}"/>
    <cellStyle name="Normal 5 5 2 5 2 2" xfId="8221" xr:uid="{00000000-0005-0000-0000-00006C1B0000}"/>
    <cellStyle name="Normal 5 5 2 5 2 2 2" xfId="17547" xr:uid="{177D4C23-FB04-4D7E-81FB-2355EED9FB40}"/>
    <cellStyle name="Normal 5 5 2 5 2 3" xfId="13330" xr:uid="{B1CCE96D-ABBF-4C38-8F6D-5C8D59D2DF0A}"/>
    <cellStyle name="Normal 5 5 2 5 3" xfId="6076" xr:uid="{00000000-0005-0000-0000-00006D1B0000}"/>
    <cellStyle name="Normal 5 5 2 5 3 2" xfId="15402" xr:uid="{E1B09CE1-BA34-4AD8-84D9-6C5805578DC3}"/>
    <cellStyle name="Normal 5 5 2 5 4" xfId="11185" xr:uid="{0E192468-680B-4AA5-BDCB-A7E65A7A8CFA}"/>
    <cellStyle name="Normal 5 5 2 6" xfId="2183" xr:uid="{00000000-0005-0000-0000-00006E1B0000}"/>
    <cellStyle name="Normal 5 5 2 6 2" xfId="4412" xr:uid="{00000000-0005-0000-0000-00006F1B0000}"/>
    <cellStyle name="Normal 5 5 2 6 2 2" xfId="8634" xr:uid="{00000000-0005-0000-0000-0000701B0000}"/>
    <cellStyle name="Normal 5 5 2 6 2 2 2" xfId="17960" xr:uid="{81F98C89-FACD-4DB8-87C7-4AF4B5D34DFB}"/>
    <cellStyle name="Normal 5 5 2 6 2 3" xfId="13743" xr:uid="{998DFC26-4467-4A5D-8796-373FC90E8191}"/>
    <cellStyle name="Normal 5 5 2 6 3" xfId="6489" xr:uid="{00000000-0005-0000-0000-0000711B0000}"/>
    <cellStyle name="Normal 5 5 2 6 3 2" xfId="15815" xr:uid="{54ECE7BE-D7AE-4184-8A1C-C51CD66D60BD}"/>
    <cellStyle name="Normal 5 5 2 6 4" xfId="11598" xr:uid="{A4E487C5-B7C3-4804-98EC-BE9F315B951F}"/>
    <cellStyle name="Normal 5 5 2 7" xfId="2619" xr:uid="{00000000-0005-0000-0000-0000721B0000}"/>
    <cellStyle name="Normal 5 5 2 7 2" xfId="6902" xr:uid="{00000000-0005-0000-0000-0000731B0000}"/>
    <cellStyle name="Normal 5 5 2 7 2 2" xfId="16228" xr:uid="{05526302-6DE5-4AF5-A6C9-F504DF876447}"/>
    <cellStyle name="Normal 5 5 2 7 3" xfId="12011" xr:uid="{DF423024-C904-47A1-BE01-50510DD5C68D}"/>
    <cellStyle name="Normal 5 5 2 8" xfId="4837" xr:uid="{00000000-0005-0000-0000-0000741B0000}"/>
    <cellStyle name="Normal 5 5 2 8 2" xfId="14163" xr:uid="{1BB7732A-2B07-4E1E-9BC4-4B1F6D54E78F}"/>
    <cellStyle name="Normal 5 5 2 9" xfId="8929" xr:uid="{918246BA-1946-46D4-8BAF-6DC0C4DC8AC3}"/>
    <cellStyle name="Normal 5 5 2 9 2" xfId="18253" xr:uid="{3E8CDF9B-D750-4F65-9F0C-29D3135F59DE}"/>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2 2 2" xfId="16723" xr:uid="{F1F4BF1B-0D5B-4C60-81E4-7DAD8EC2BA35}"/>
    <cellStyle name="Normal 5 5 3 2 2 3" xfId="12506" xr:uid="{261E0E4C-4934-429E-9651-37536AA9935A}"/>
    <cellStyle name="Normal 5 5 3 2 3" xfId="5252" xr:uid="{00000000-0005-0000-0000-0000791B0000}"/>
    <cellStyle name="Normal 5 5 3 2 3 2" xfId="14578" xr:uid="{3EB18259-0527-47ED-82B2-7ACB6A3E4532}"/>
    <cellStyle name="Normal 5 5 3 2 4" xfId="9458" xr:uid="{8AD16727-CFBF-4DB5-B58F-04D48E2B564D}"/>
    <cellStyle name="Normal 5 5 3 2 4 2" xfId="18773" xr:uid="{55544319-A004-4873-992B-30A1EB718BF0}"/>
    <cellStyle name="Normal 5 5 3 2 5" xfId="10361" xr:uid="{D0854ADB-9D53-4523-A84D-AE64860CAAD4}"/>
    <cellStyle name="Normal 5 5 3 3" xfId="1358" xr:uid="{00000000-0005-0000-0000-00007A1B0000}"/>
    <cellStyle name="Normal 5 5 3 3 2" xfId="3588" xr:uid="{00000000-0005-0000-0000-00007B1B0000}"/>
    <cellStyle name="Normal 5 5 3 3 2 2" xfId="7810" xr:uid="{00000000-0005-0000-0000-00007C1B0000}"/>
    <cellStyle name="Normal 5 5 3 3 2 2 2" xfId="17136" xr:uid="{F4B6DDD0-10F8-47E6-89D4-9F1F60EC9236}"/>
    <cellStyle name="Normal 5 5 3 3 2 3" xfId="12919" xr:uid="{89E81C1E-8EB7-48EB-96DE-28E7B00AD77F}"/>
    <cellStyle name="Normal 5 5 3 3 3" xfId="5665" xr:uid="{00000000-0005-0000-0000-00007D1B0000}"/>
    <cellStyle name="Normal 5 5 3 3 3 2" xfId="14991" xr:uid="{EEC3B3C3-A3F6-4C02-9E18-D538F8795A2D}"/>
    <cellStyle name="Normal 5 5 3 3 4" xfId="10774" xr:uid="{BAC9871C-45CB-4E59-9016-3B992C7F759E}"/>
    <cellStyle name="Normal 5 5 3 4" xfId="1771" xr:uid="{00000000-0005-0000-0000-00007E1B0000}"/>
    <cellStyle name="Normal 5 5 3 4 2" xfId="4001" xr:uid="{00000000-0005-0000-0000-00007F1B0000}"/>
    <cellStyle name="Normal 5 5 3 4 2 2" xfId="8223" xr:uid="{00000000-0005-0000-0000-0000801B0000}"/>
    <cellStyle name="Normal 5 5 3 4 2 2 2" xfId="17549" xr:uid="{B0D77060-68AC-4F20-9A29-2897D0CF90DD}"/>
    <cellStyle name="Normal 5 5 3 4 2 3" xfId="13332" xr:uid="{5318F24A-637C-49B8-BD2A-4DD030F8C911}"/>
    <cellStyle name="Normal 5 5 3 4 3" xfId="6078" xr:uid="{00000000-0005-0000-0000-0000811B0000}"/>
    <cellStyle name="Normal 5 5 3 4 3 2" xfId="15404" xr:uid="{AC82EF97-CF2A-4138-948B-B14BBD50690F}"/>
    <cellStyle name="Normal 5 5 3 4 4" xfId="11187" xr:uid="{3F6C83A8-7C75-40A6-9995-D6DA375F12ED}"/>
    <cellStyle name="Normal 5 5 3 5" xfId="2185" xr:uid="{00000000-0005-0000-0000-0000821B0000}"/>
    <cellStyle name="Normal 5 5 3 5 2" xfId="4414" xr:uid="{00000000-0005-0000-0000-0000831B0000}"/>
    <cellStyle name="Normal 5 5 3 5 2 2" xfId="8636" xr:uid="{00000000-0005-0000-0000-0000841B0000}"/>
    <cellStyle name="Normal 5 5 3 5 2 2 2" xfId="17962" xr:uid="{C5D54EEB-9C58-4A4B-A5A4-5F469DB72E87}"/>
    <cellStyle name="Normal 5 5 3 5 2 3" xfId="13745" xr:uid="{087A15DB-E494-4B05-AF96-07A48E6EE404}"/>
    <cellStyle name="Normal 5 5 3 5 3" xfId="6491" xr:uid="{00000000-0005-0000-0000-0000851B0000}"/>
    <cellStyle name="Normal 5 5 3 5 3 2" xfId="15817" xr:uid="{68F1EC63-99EB-47BE-97A0-510678C08D40}"/>
    <cellStyle name="Normal 5 5 3 5 4" xfId="11600" xr:uid="{592594EA-B2E4-440A-8213-91C9F12F05D9}"/>
    <cellStyle name="Normal 5 5 3 6" xfId="2621" xr:uid="{00000000-0005-0000-0000-0000861B0000}"/>
    <cellStyle name="Normal 5 5 3 6 2" xfId="6904" xr:uid="{00000000-0005-0000-0000-0000871B0000}"/>
    <cellStyle name="Normal 5 5 3 6 2 2" xfId="16230" xr:uid="{32B542BB-BFE7-4607-9347-ACB095CF3BFA}"/>
    <cellStyle name="Normal 5 5 3 6 3" xfId="12013" xr:uid="{272935F2-C80A-476D-ACA2-48CC4FD7DB8A}"/>
    <cellStyle name="Normal 5 5 3 7" xfId="4839" xr:uid="{00000000-0005-0000-0000-0000881B0000}"/>
    <cellStyle name="Normal 5 5 3 7 2" xfId="14165" xr:uid="{F1A72ABD-11AB-4770-AD78-4B8997C7012D}"/>
    <cellStyle name="Normal 5 5 3 8" xfId="9033" xr:uid="{08F77EF7-8D03-42D9-B538-FE3582C4B971}"/>
    <cellStyle name="Normal 5 5 3 8 2" xfId="18357" xr:uid="{3BA9A1C6-FCA0-4724-B25D-EB103F87BB25}"/>
    <cellStyle name="Normal 5 5 3 9" xfId="9948" xr:uid="{29D9F246-581C-4117-A525-E01F935DE01F}"/>
    <cellStyle name="Normal 5 5 4" xfId="938" xr:uid="{00000000-0005-0000-0000-0000891B0000}"/>
    <cellStyle name="Normal 5 5 4 2" xfId="3172" xr:uid="{00000000-0005-0000-0000-00008A1B0000}"/>
    <cellStyle name="Normal 5 5 4 2 2" xfId="7394" xr:uid="{00000000-0005-0000-0000-00008B1B0000}"/>
    <cellStyle name="Normal 5 5 4 2 2 2" xfId="16720" xr:uid="{DE248A0C-D2A8-4CA7-B8DE-057EC8CEA79C}"/>
    <cellStyle name="Normal 5 5 4 2 3" xfId="12503" xr:uid="{95E41BB5-715D-4893-9E43-6DDDB7387C2C}"/>
    <cellStyle name="Normal 5 5 4 3" xfId="5249" xr:uid="{00000000-0005-0000-0000-00008C1B0000}"/>
    <cellStyle name="Normal 5 5 4 3 2" xfId="14575" xr:uid="{2DBFCF0D-738E-427C-8E36-26886A4AFAA8}"/>
    <cellStyle name="Normal 5 5 4 4" xfId="9251" xr:uid="{4EAD9E35-D3C9-46BE-AE4D-29A1C6D5A6F7}"/>
    <cellStyle name="Normal 5 5 4 4 2" xfId="18566" xr:uid="{790C0D17-A453-46CE-869F-6CFBBF31C0B3}"/>
    <cellStyle name="Normal 5 5 4 5" xfId="10358" xr:uid="{88D17C59-F61F-4906-B4D9-826C3B615700}"/>
    <cellStyle name="Normal 5 5 5" xfId="1355" xr:uid="{00000000-0005-0000-0000-00008D1B0000}"/>
    <cellStyle name="Normal 5 5 5 2" xfId="3585" xr:uid="{00000000-0005-0000-0000-00008E1B0000}"/>
    <cellStyle name="Normal 5 5 5 2 2" xfId="7807" xr:uid="{00000000-0005-0000-0000-00008F1B0000}"/>
    <cellStyle name="Normal 5 5 5 2 2 2" xfId="17133" xr:uid="{53916AAC-751B-4211-BAF9-3098BE555A5A}"/>
    <cellStyle name="Normal 5 5 5 2 3" xfId="12916" xr:uid="{D21718FC-0A29-4CFE-B8D6-26F99A11DE9E}"/>
    <cellStyle name="Normal 5 5 5 3" xfId="5662" xr:uid="{00000000-0005-0000-0000-0000901B0000}"/>
    <cellStyle name="Normal 5 5 5 3 2" xfId="14988" xr:uid="{FDB08CA8-5C68-4EF3-81CB-A4FAF0485656}"/>
    <cellStyle name="Normal 5 5 5 4" xfId="10771" xr:uid="{36773430-1593-41C2-A0F8-DBFA9026C73C}"/>
    <cellStyle name="Normal 5 5 6" xfId="1768" xr:uid="{00000000-0005-0000-0000-0000911B0000}"/>
    <cellStyle name="Normal 5 5 6 2" xfId="3998" xr:uid="{00000000-0005-0000-0000-0000921B0000}"/>
    <cellStyle name="Normal 5 5 6 2 2" xfId="8220" xr:uid="{00000000-0005-0000-0000-0000931B0000}"/>
    <cellStyle name="Normal 5 5 6 2 2 2" xfId="17546" xr:uid="{C06ABC32-8820-413D-BB72-4FB665F1EFD7}"/>
    <cellStyle name="Normal 5 5 6 2 3" xfId="13329" xr:uid="{F5962E69-FA04-4CD5-83EA-2C9FF802CBAB}"/>
    <cellStyle name="Normal 5 5 6 3" xfId="6075" xr:uid="{00000000-0005-0000-0000-0000941B0000}"/>
    <cellStyle name="Normal 5 5 6 3 2" xfId="15401" xr:uid="{8AB389FB-2C71-435D-A478-C775C760B668}"/>
    <cellStyle name="Normal 5 5 6 4" xfId="11184" xr:uid="{7A6AC8EF-F554-4FFE-BC83-F5E11EC0B83A}"/>
    <cellStyle name="Normal 5 5 7" xfId="2182" xr:uid="{00000000-0005-0000-0000-0000951B0000}"/>
    <cellStyle name="Normal 5 5 7 2" xfId="4411" xr:uid="{00000000-0005-0000-0000-0000961B0000}"/>
    <cellStyle name="Normal 5 5 7 2 2" xfId="8633" xr:uid="{00000000-0005-0000-0000-0000971B0000}"/>
    <cellStyle name="Normal 5 5 7 2 2 2" xfId="17959" xr:uid="{77810B6D-42CA-4A10-B386-D07A3FDB6E92}"/>
    <cellStyle name="Normal 5 5 7 2 3" xfId="13742" xr:uid="{2D37B6D3-F1FD-4D14-8F07-265DB36F8F88}"/>
    <cellStyle name="Normal 5 5 7 3" xfId="6488" xr:uid="{00000000-0005-0000-0000-0000981B0000}"/>
    <cellStyle name="Normal 5 5 7 3 2" xfId="15814" xr:uid="{CAE5C5A9-BFA4-4DFA-AAEB-0D9DA3351A44}"/>
    <cellStyle name="Normal 5 5 7 4" xfId="11597" xr:uid="{92B99036-1159-4AD1-8E80-84173EC357BB}"/>
    <cellStyle name="Normal 5 5 8" xfId="2618" xr:uid="{00000000-0005-0000-0000-0000991B0000}"/>
    <cellStyle name="Normal 5 5 8 2" xfId="6901" xr:uid="{00000000-0005-0000-0000-00009A1B0000}"/>
    <cellStyle name="Normal 5 5 8 2 2" xfId="16227" xr:uid="{2A0A4E62-3B04-4BF0-9E6E-3BD8C3F85D78}"/>
    <cellStyle name="Normal 5 5 8 3" xfId="12010" xr:uid="{B9E631C1-6102-4193-A92F-056C99D657F6}"/>
    <cellStyle name="Normal 5 5 9" xfId="4836" xr:uid="{00000000-0005-0000-0000-00009B1B0000}"/>
    <cellStyle name="Normal 5 5 9 2" xfId="14162" xr:uid="{6C57DDA1-92D3-4599-8E73-05AA925D88AA}"/>
    <cellStyle name="Normal 5 6" xfId="468" xr:uid="{00000000-0005-0000-0000-00009C1B0000}"/>
    <cellStyle name="Normal 5 6 10" xfId="9949" xr:uid="{F4AA04C9-503F-4F0C-AFBF-6B40A7181AEB}"/>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2 2 2" xfId="16725" xr:uid="{1E34A708-7A5A-49C4-9AAD-5BC5E891773D}"/>
    <cellStyle name="Normal 5 6 2 2 2 3" xfId="12508" xr:uid="{C626152D-4587-4E0B-AF74-36F070AE329C}"/>
    <cellStyle name="Normal 5 6 2 2 3" xfId="5254" xr:uid="{00000000-0005-0000-0000-0000A11B0000}"/>
    <cellStyle name="Normal 5 6 2 2 3 2" xfId="14580" xr:uid="{0BCF128A-548D-44FE-AA52-101DDF0D8E0F}"/>
    <cellStyle name="Normal 5 6 2 2 4" xfId="9476" xr:uid="{3B3E6CA1-4D97-4B11-99D5-4F82314AA0E0}"/>
    <cellStyle name="Normal 5 6 2 2 4 2" xfId="18791" xr:uid="{1D836E24-EEA0-47D8-A8AE-1E5347183FDD}"/>
    <cellStyle name="Normal 5 6 2 2 5" xfId="10363" xr:uid="{A8B63BF2-C80A-4567-A24A-BA4801406576}"/>
    <cellStyle name="Normal 5 6 2 3" xfId="1360" xr:uid="{00000000-0005-0000-0000-0000A21B0000}"/>
    <cellStyle name="Normal 5 6 2 3 2" xfId="3590" xr:uid="{00000000-0005-0000-0000-0000A31B0000}"/>
    <cellStyle name="Normal 5 6 2 3 2 2" xfId="7812" xr:uid="{00000000-0005-0000-0000-0000A41B0000}"/>
    <cellStyle name="Normal 5 6 2 3 2 2 2" xfId="17138" xr:uid="{1E6ED618-2513-49B2-BE6F-EC62103C0D97}"/>
    <cellStyle name="Normal 5 6 2 3 2 3" xfId="12921" xr:uid="{5364B295-F45D-4715-9AC5-8BF4E8165E95}"/>
    <cellStyle name="Normal 5 6 2 3 3" xfId="5667" xr:uid="{00000000-0005-0000-0000-0000A51B0000}"/>
    <cellStyle name="Normal 5 6 2 3 3 2" xfId="14993" xr:uid="{0C89A74B-398E-4728-B9BF-AC137C5B120B}"/>
    <cellStyle name="Normal 5 6 2 3 4" xfId="10776" xr:uid="{D239F72F-4DBD-47DC-ADB9-FCE2F37FC589}"/>
    <cellStyle name="Normal 5 6 2 4" xfId="1773" xr:uid="{00000000-0005-0000-0000-0000A61B0000}"/>
    <cellStyle name="Normal 5 6 2 4 2" xfId="4003" xr:uid="{00000000-0005-0000-0000-0000A71B0000}"/>
    <cellStyle name="Normal 5 6 2 4 2 2" xfId="8225" xr:uid="{00000000-0005-0000-0000-0000A81B0000}"/>
    <cellStyle name="Normal 5 6 2 4 2 2 2" xfId="17551" xr:uid="{5893A093-4EEC-4F3C-89AD-4402A563B37B}"/>
    <cellStyle name="Normal 5 6 2 4 2 3" xfId="13334" xr:uid="{FF494157-5042-4560-805D-D98572439E9C}"/>
    <cellStyle name="Normal 5 6 2 4 3" xfId="6080" xr:uid="{00000000-0005-0000-0000-0000A91B0000}"/>
    <cellStyle name="Normal 5 6 2 4 3 2" xfId="15406" xr:uid="{6991E40E-F614-4BFC-A863-D6829301CF62}"/>
    <cellStyle name="Normal 5 6 2 4 4" xfId="11189" xr:uid="{15C6C7C0-3DC3-4C9D-93DE-E0E80B11884A}"/>
    <cellStyle name="Normal 5 6 2 5" xfId="2187" xr:uid="{00000000-0005-0000-0000-0000AA1B0000}"/>
    <cellStyle name="Normal 5 6 2 5 2" xfId="4416" xr:uid="{00000000-0005-0000-0000-0000AB1B0000}"/>
    <cellStyle name="Normal 5 6 2 5 2 2" xfId="8638" xr:uid="{00000000-0005-0000-0000-0000AC1B0000}"/>
    <cellStyle name="Normal 5 6 2 5 2 2 2" xfId="17964" xr:uid="{95FA1A55-98F6-4F12-83F9-1C60D28566A3}"/>
    <cellStyle name="Normal 5 6 2 5 2 3" xfId="13747" xr:uid="{65DDB701-02A1-4B2B-B265-849B8FFDD19D}"/>
    <cellStyle name="Normal 5 6 2 5 3" xfId="6493" xr:uid="{00000000-0005-0000-0000-0000AD1B0000}"/>
    <cellStyle name="Normal 5 6 2 5 3 2" xfId="15819" xr:uid="{8765C33B-4710-4F1F-98E2-D67057894947}"/>
    <cellStyle name="Normal 5 6 2 5 4" xfId="11602" xr:uid="{E88E5607-B3EC-481B-81BC-461D367F0FA7}"/>
    <cellStyle name="Normal 5 6 2 6" xfId="2623" xr:uid="{00000000-0005-0000-0000-0000AE1B0000}"/>
    <cellStyle name="Normal 5 6 2 6 2" xfId="6906" xr:uid="{00000000-0005-0000-0000-0000AF1B0000}"/>
    <cellStyle name="Normal 5 6 2 6 2 2" xfId="16232" xr:uid="{154235E8-E94A-4545-9F65-A932BB0D0FE9}"/>
    <cellStyle name="Normal 5 6 2 6 3" xfId="12015" xr:uid="{F401C726-1397-4615-95EF-320721F66861}"/>
    <cellStyle name="Normal 5 6 2 7" xfId="4841" xr:uid="{00000000-0005-0000-0000-0000B01B0000}"/>
    <cellStyle name="Normal 5 6 2 7 2" xfId="14167" xr:uid="{B6695F7A-E303-444A-BD0E-8522C1C3C6BF}"/>
    <cellStyle name="Normal 5 6 2 8" xfId="9051" xr:uid="{97C72229-9AC1-4DA9-8A0B-8B4B6D970DE8}"/>
    <cellStyle name="Normal 5 6 2 8 2" xfId="18375" xr:uid="{8767B76C-8E47-4B70-B020-4A35B46ECA03}"/>
    <cellStyle name="Normal 5 6 2 9" xfId="9950" xr:uid="{60F0722D-DB1E-4EF1-B96D-F68EA35E35C7}"/>
    <cellStyle name="Normal 5 6 3" xfId="942" xr:uid="{00000000-0005-0000-0000-0000B11B0000}"/>
    <cellStyle name="Normal 5 6 3 2" xfId="3176" xr:uid="{00000000-0005-0000-0000-0000B21B0000}"/>
    <cellStyle name="Normal 5 6 3 2 2" xfId="7398" xr:uid="{00000000-0005-0000-0000-0000B31B0000}"/>
    <cellStyle name="Normal 5 6 3 2 2 2" xfId="16724" xr:uid="{A4DA990B-15BD-4699-9B11-E15D0A031ACA}"/>
    <cellStyle name="Normal 5 6 3 2 3" xfId="12507" xr:uid="{2BBD875E-9DBA-46C2-B2CB-1B4E1BD171C4}"/>
    <cellStyle name="Normal 5 6 3 3" xfId="5253" xr:uid="{00000000-0005-0000-0000-0000B41B0000}"/>
    <cellStyle name="Normal 5 6 3 3 2" xfId="14579" xr:uid="{697B9A05-FA2E-4EA7-ACA0-07E792EF178C}"/>
    <cellStyle name="Normal 5 6 3 4" xfId="9269" xr:uid="{7D6728A0-C210-4F3F-8114-143B9AE0BFB4}"/>
    <cellStyle name="Normal 5 6 3 4 2" xfId="18584" xr:uid="{16EE9BCC-834D-4BB9-8E94-359465341C87}"/>
    <cellStyle name="Normal 5 6 3 5" xfId="10362" xr:uid="{C3C553EC-3A5E-40CF-87FA-3DCA1784BB99}"/>
    <cellStyle name="Normal 5 6 4" xfId="1359" xr:uid="{00000000-0005-0000-0000-0000B51B0000}"/>
    <cellStyle name="Normal 5 6 4 2" xfId="3589" xr:uid="{00000000-0005-0000-0000-0000B61B0000}"/>
    <cellStyle name="Normal 5 6 4 2 2" xfId="7811" xr:uid="{00000000-0005-0000-0000-0000B71B0000}"/>
    <cellStyle name="Normal 5 6 4 2 2 2" xfId="17137" xr:uid="{5D2123FE-BA56-422E-9531-F3BC7EDC1F23}"/>
    <cellStyle name="Normal 5 6 4 2 3" xfId="12920" xr:uid="{055AF088-9E06-4DED-B518-7E77C6B746C6}"/>
    <cellStyle name="Normal 5 6 4 3" xfId="5666" xr:uid="{00000000-0005-0000-0000-0000B81B0000}"/>
    <cellStyle name="Normal 5 6 4 3 2" xfId="14992" xr:uid="{16241D60-4CD6-4F1E-859A-2E407F73BB4D}"/>
    <cellStyle name="Normal 5 6 4 4" xfId="10775" xr:uid="{91CF38A8-767C-4076-B2DF-A5C35061106C}"/>
    <cellStyle name="Normal 5 6 5" xfId="1772" xr:uid="{00000000-0005-0000-0000-0000B91B0000}"/>
    <cellStyle name="Normal 5 6 5 2" xfId="4002" xr:uid="{00000000-0005-0000-0000-0000BA1B0000}"/>
    <cellStyle name="Normal 5 6 5 2 2" xfId="8224" xr:uid="{00000000-0005-0000-0000-0000BB1B0000}"/>
    <cellStyle name="Normal 5 6 5 2 2 2" xfId="17550" xr:uid="{05F910E6-F923-4720-8729-C349F6869627}"/>
    <cellStyle name="Normal 5 6 5 2 3" xfId="13333" xr:uid="{C5E93BD4-9AC6-4A89-9921-C7DE3408A59F}"/>
    <cellStyle name="Normal 5 6 5 3" xfId="6079" xr:uid="{00000000-0005-0000-0000-0000BC1B0000}"/>
    <cellStyle name="Normal 5 6 5 3 2" xfId="15405" xr:uid="{99F5C83E-87B7-4CA2-9318-B1E316512A4E}"/>
    <cellStyle name="Normal 5 6 5 4" xfId="11188" xr:uid="{FF9F8F51-2200-440C-953D-3BC2B666EBE5}"/>
    <cellStyle name="Normal 5 6 6" xfId="2186" xr:uid="{00000000-0005-0000-0000-0000BD1B0000}"/>
    <cellStyle name="Normal 5 6 6 2" xfId="4415" xr:uid="{00000000-0005-0000-0000-0000BE1B0000}"/>
    <cellStyle name="Normal 5 6 6 2 2" xfId="8637" xr:uid="{00000000-0005-0000-0000-0000BF1B0000}"/>
    <cellStyle name="Normal 5 6 6 2 2 2" xfId="17963" xr:uid="{D83FACE6-9FB3-4FE4-9B67-457E4F4656C4}"/>
    <cellStyle name="Normal 5 6 6 2 3" xfId="13746" xr:uid="{78DB004F-1F97-477E-A44B-2B911D74D8CE}"/>
    <cellStyle name="Normal 5 6 6 3" xfId="6492" xr:uid="{00000000-0005-0000-0000-0000C01B0000}"/>
    <cellStyle name="Normal 5 6 6 3 2" xfId="15818" xr:uid="{9DAFF65E-46D3-4033-852A-8DBA5696582B}"/>
    <cellStyle name="Normal 5 6 6 4" xfId="11601" xr:uid="{DAC458B6-BB7C-4819-8E82-AE685D78754D}"/>
    <cellStyle name="Normal 5 6 7" xfId="2622" xr:uid="{00000000-0005-0000-0000-0000C11B0000}"/>
    <cellStyle name="Normal 5 6 7 2" xfId="6905" xr:uid="{00000000-0005-0000-0000-0000C21B0000}"/>
    <cellStyle name="Normal 5 6 7 2 2" xfId="16231" xr:uid="{E861A421-A61B-425B-BAF9-A5D4B44B6536}"/>
    <cellStyle name="Normal 5 6 7 3" xfId="12014" xr:uid="{AD14A45E-3FF8-4D9A-8E06-DDDA5BA3032D}"/>
    <cellStyle name="Normal 5 6 8" xfId="4840" xr:uid="{00000000-0005-0000-0000-0000C31B0000}"/>
    <cellStyle name="Normal 5 6 8 2" xfId="14166" xr:uid="{448FFF39-5401-4D49-A262-2F22AE99A636}"/>
    <cellStyle name="Normal 5 6 9" xfId="8844" xr:uid="{91B947E4-8FF0-409F-B157-688724766D9F}"/>
    <cellStyle name="Normal 5 6 9 2" xfId="18168" xr:uid="{49A44613-1117-4A5F-9CF6-87C56D609DC7}"/>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2 2 2" xfId="16726" xr:uid="{0CFA036D-DC91-4C4A-BCAA-83A84CB4B9AF}"/>
    <cellStyle name="Normal 5 7 2 2 3" xfId="12509" xr:uid="{0C9198A7-6973-4F1B-8A3B-60917F7B0B4A}"/>
    <cellStyle name="Normal 5 7 2 3" xfId="5255" xr:uid="{00000000-0005-0000-0000-0000C81B0000}"/>
    <cellStyle name="Normal 5 7 2 3 2" xfId="14581" xr:uid="{C4DCBED8-0238-484A-A201-55CDA45CA86F}"/>
    <cellStyle name="Normal 5 7 2 4" xfId="9385" xr:uid="{2E4A3B0A-2E42-41AC-9564-09D1598995A2}"/>
    <cellStyle name="Normal 5 7 2 4 2" xfId="18700" xr:uid="{CDB18F68-332B-46E8-9192-D7945CC975F0}"/>
    <cellStyle name="Normal 5 7 2 5" xfId="10364" xr:uid="{76BF80F7-EA20-46C8-B387-E21B2E8644C6}"/>
    <cellStyle name="Normal 5 7 3" xfId="1361" xr:uid="{00000000-0005-0000-0000-0000C91B0000}"/>
    <cellStyle name="Normal 5 7 3 2" xfId="3591" xr:uid="{00000000-0005-0000-0000-0000CA1B0000}"/>
    <cellStyle name="Normal 5 7 3 2 2" xfId="7813" xr:uid="{00000000-0005-0000-0000-0000CB1B0000}"/>
    <cellStyle name="Normal 5 7 3 2 2 2" xfId="17139" xr:uid="{46605D65-A867-43A2-8A87-2B450D66280C}"/>
    <cellStyle name="Normal 5 7 3 2 3" xfId="12922" xr:uid="{A2B7D9BF-FF06-4395-8CA1-2D8FFE7A9808}"/>
    <cellStyle name="Normal 5 7 3 3" xfId="5668" xr:uid="{00000000-0005-0000-0000-0000CC1B0000}"/>
    <cellStyle name="Normal 5 7 3 3 2" xfId="14994" xr:uid="{1158088A-8307-42BF-8F1B-247107BDBE59}"/>
    <cellStyle name="Normal 5 7 3 4" xfId="10777" xr:uid="{D19DDB30-A3F2-4CD0-8BD5-8E3C848A158C}"/>
    <cellStyle name="Normal 5 7 4" xfId="1774" xr:uid="{00000000-0005-0000-0000-0000CD1B0000}"/>
    <cellStyle name="Normal 5 7 4 2" xfId="4004" xr:uid="{00000000-0005-0000-0000-0000CE1B0000}"/>
    <cellStyle name="Normal 5 7 4 2 2" xfId="8226" xr:uid="{00000000-0005-0000-0000-0000CF1B0000}"/>
    <cellStyle name="Normal 5 7 4 2 2 2" xfId="17552" xr:uid="{2882EDD5-15B8-4B56-9509-1DA4C218140D}"/>
    <cellStyle name="Normal 5 7 4 2 3" xfId="13335" xr:uid="{FE214AAF-F382-43FE-9AA8-6EE869C5B53C}"/>
    <cellStyle name="Normal 5 7 4 3" xfId="6081" xr:uid="{00000000-0005-0000-0000-0000D01B0000}"/>
    <cellStyle name="Normal 5 7 4 3 2" xfId="15407" xr:uid="{6E0BF942-8BF4-4F6D-AC65-0C25503E3304}"/>
    <cellStyle name="Normal 5 7 4 4" xfId="11190" xr:uid="{46A17518-6D0C-49AC-801F-2B87B28E611A}"/>
    <cellStyle name="Normal 5 7 5" xfId="2188" xr:uid="{00000000-0005-0000-0000-0000D11B0000}"/>
    <cellStyle name="Normal 5 7 5 2" xfId="4417" xr:uid="{00000000-0005-0000-0000-0000D21B0000}"/>
    <cellStyle name="Normal 5 7 5 2 2" xfId="8639" xr:uid="{00000000-0005-0000-0000-0000D31B0000}"/>
    <cellStyle name="Normal 5 7 5 2 2 2" xfId="17965" xr:uid="{723BEE21-D819-4931-981A-2F6081037B0B}"/>
    <cellStyle name="Normal 5 7 5 2 3" xfId="13748" xr:uid="{0B67AD8A-CD93-493A-AE19-918044A94BBA}"/>
    <cellStyle name="Normal 5 7 5 3" xfId="6494" xr:uid="{00000000-0005-0000-0000-0000D41B0000}"/>
    <cellStyle name="Normal 5 7 5 3 2" xfId="15820" xr:uid="{0D9DF2C7-C8C5-4807-B44C-D092E61667CF}"/>
    <cellStyle name="Normal 5 7 5 4" xfId="11603" xr:uid="{4C8339C9-E157-4499-A704-FD331E4CF859}"/>
    <cellStyle name="Normal 5 7 6" xfId="2624" xr:uid="{00000000-0005-0000-0000-0000D51B0000}"/>
    <cellStyle name="Normal 5 7 6 2" xfId="6907" xr:uid="{00000000-0005-0000-0000-0000D61B0000}"/>
    <cellStyle name="Normal 5 7 6 2 2" xfId="16233" xr:uid="{54043418-2FBA-400F-8D69-0B157D0A262B}"/>
    <cellStyle name="Normal 5 7 6 3" xfId="12016" xr:uid="{0B87204E-544B-4E3C-8084-C2BD0FF5570B}"/>
    <cellStyle name="Normal 5 7 7" xfId="4842" xr:uid="{00000000-0005-0000-0000-0000D71B0000}"/>
    <cellStyle name="Normal 5 7 7 2" xfId="14168" xr:uid="{B5EEDAC2-F924-4BCC-A84D-B5CD34D141A1}"/>
    <cellStyle name="Normal 5 7 8" xfId="8960" xr:uid="{F4BEC964-53C9-4393-B7F1-69B47FC1FF25}"/>
    <cellStyle name="Normal 5 7 8 2" xfId="18284" xr:uid="{D72F7ADF-0C44-42BD-84E3-7F48273D551A}"/>
    <cellStyle name="Normal 5 7 9" xfId="9951" xr:uid="{DD46D4CB-E8A3-4A9E-8380-97B9F8C9690C}"/>
    <cellStyle name="Normal 5 8" xfId="880" xr:uid="{00000000-0005-0000-0000-0000D81B0000}"/>
    <cellStyle name="Normal 5 8 2" xfId="3115" xr:uid="{00000000-0005-0000-0000-0000D91B0000}"/>
    <cellStyle name="Normal 5 8 2 2" xfId="7337" xr:uid="{00000000-0005-0000-0000-0000DA1B0000}"/>
    <cellStyle name="Normal 5 8 2 2 2" xfId="16663" xr:uid="{F60D22AD-9309-4058-A417-79E91501A2B0}"/>
    <cellStyle name="Normal 5 8 2 3" xfId="12446" xr:uid="{9A4331CE-5249-469D-9DA4-824522FF19A3}"/>
    <cellStyle name="Normal 5 8 3" xfId="5192" xr:uid="{00000000-0005-0000-0000-0000DB1B0000}"/>
    <cellStyle name="Normal 5 8 3 2" xfId="14518" xr:uid="{9BB04FB3-EC9B-4724-8055-FC4B55DE9082}"/>
    <cellStyle name="Normal 5 8 4" xfId="9163" xr:uid="{44C7CAD4-DD7C-48E0-9142-8ED22123C662}"/>
    <cellStyle name="Normal 5 8 4 2" xfId="18481" xr:uid="{DA669792-0A30-423A-8C7D-E7152445E92C}"/>
    <cellStyle name="Normal 5 8 5" xfId="10301" xr:uid="{4C8444D6-FD26-45D3-897F-B349BCA49D5E}"/>
    <cellStyle name="Normal 5 9" xfId="1298" xr:uid="{00000000-0005-0000-0000-0000DC1B0000}"/>
    <cellStyle name="Normal 5 9 2" xfId="3528" xr:uid="{00000000-0005-0000-0000-0000DD1B0000}"/>
    <cellStyle name="Normal 5 9 2 2" xfId="7750" xr:uid="{00000000-0005-0000-0000-0000DE1B0000}"/>
    <cellStyle name="Normal 5 9 2 2 2" xfId="17076" xr:uid="{430F3E9C-9607-40E5-95A8-5ACDDA91E4DB}"/>
    <cellStyle name="Normal 5 9 2 3" xfId="12859" xr:uid="{A2608C23-25DE-4D72-A4F3-E8A8CD9AE0D4}"/>
    <cellStyle name="Normal 5 9 3" xfId="5605" xr:uid="{00000000-0005-0000-0000-0000DF1B0000}"/>
    <cellStyle name="Normal 5 9 3 2" xfId="14931" xr:uid="{3EBFC23B-FB7F-4F67-A8F8-F054C6642269}"/>
    <cellStyle name="Normal 5 9 4" xfId="10714" xr:uid="{AF2276B5-9199-466D-8883-83DABF916396}"/>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2 2 2" xfId="17966" xr:uid="{4815FA8E-92F6-4EE2-BEDC-BAE347083879}"/>
    <cellStyle name="Normal 8 10 2 3" xfId="13749" xr:uid="{1DC1EBBB-A207-4939-85C6-5EDECF9E4374}"/>
    <cellStyle name="Normal 8 10 3" xfId="6495" xr:uid="{00000000-0005-0000-0000-0000EB1B0000}"/>
    <cellStyle name="Normal 8 10 3 2" xfId="15821" xr:uid="{4484FE65-CF4E-4851-BF88-DB83D5B883D2}"/>
    <cellStyle name="Normal 8 10 4" xfId="11604" xr:uid="{6F4C2660-A465-4755-A4E8-BEDBE561F13A}"/>
    <cellStyle name="Normal 8 11" xfId="2625" xr:uid="{00000000-0005-0000-0000-0000EC1B0000}"/>
    <cellStyle name="Normal 8 11 2" xfId="6908" xr:uid="{00000000-0005-0000-0000-0000ED1B0000}"/>
    <cellStyle name="Normal 8 11 2 2" xfId="16234" xr:uid="{F1BE83DF-FC7A-4FA9-A7E9-BE30DF3BEEAB}"/>
    <cellStyle name="Normal 8 11 3" xfId="12017" xr:uid="{11F19A28-EF84-410F-AE31-C70B7D1F3D38}"/>
    <cellStyle name="Normal 8 12" xfId="4843" xr:uid="{00000000-0005-0000-0000-0000EE1B0000}"/>
    <cellStyle name="Normal 8 12 2" xfId="14169" xr:uid="{418AD9A9-461D-4EFD-B28A-99AE331D82B7}"/>
    <cellStyle name="Normal 8 13" xfId="8742" xr:uid="{AF36CBBC-3EEB-4AC8-923B-65C7C2418AB0}"/>
    <cellStyle name="Normal 8 13 2" xfId="18066" xr:uid="{0E426E82-7FFF-40A2-BB1D-CDB5BE214758}"/>
    <cellStyle name="Normal 8 14" xfId="9952" xr:uid="{E2D16D43-8010-4413-A2C8-502C99258D81}"/>
    <cellStyle name="Normal 8 2" xfId="479" xr:uid="{00000000-0005-0000-0000-0000EF1B0000}"/>
    <cellStyle name="Normal 8 2 10" xfId="2626" xr:uid="{00000000-0005-0000-0000-0000F01B0000}"/>
    <cellStyle name="Normal 8 2 10 2" xfId="6909" xr:uid="{00000000-0005-0000-0000-0000F11B0000}"/>
    <cellStyle name="Normal 8 2 10 2 2" xfId="16235" xr:uid="{F5474ACE-C564-492B-BFE6-B2EC5AA046FC}"/>
    <cellStyle name="Normal 8 2 10 3" xfId="12018" xr:uid="{20EBF4BB-88A6-45C1-B98A-7A6A92AF1013}"/>
    <cellStyle name="Normal 8 2 11" xfId="4844" xr:uid="{00000000-0005-0000-0000-0000F21B0000}"/>
    <cellStyle name="Normal 8 2 11 2" xfId="14170" xr:uid="{980E508D-B7C1-400D-9EA4-714CC38144F8}"/>
    <cellStyle name="Normal 8 2 12" xfId="8751" xr:uid="{476D0553-3387-4D9F-B05B-56EC7A36F7A1}"/>
    <cellStyle name="Normal 8 2 12 2" xfId="18075" xr:uid="{B8E19E27-18F8-4D43-BB85-F73A94A0047B}"/>
    <cellStyle name="Normal 8 2 13" xfId="9953" xr:uid="{2167D86D-0DBC-4F2E-B7BC-6A31357A0B40}"/>
    <cellStyle name="Normal 8 2 2" xfId="480" xr:uid="{00000000-0005-0000-0000-0000F31B0000}"/>
    <cellStyle name="Normal 8 2 2 10" xfId="4845" xr:uid="{00000000-0005-0000-0000-0000F41B0000}"/>
    <cellStyle name="Normal 8 2 2 10 2" xfId="14171" xr:uid="{9A9E5975-7557-474A-827A-45D37CB78948}"/>
    <cellStyle name="Normal 8 2 2 11" xfId="8783" xr:uid="{3C426022-C415-47DA-A8EF-1D6CE72527BD}"/>
    <cellStyle name="Normal 8 2 2 11 2" xfId="18107" xr:uid="{E623DB1E-032B-4053-BDA7-77F5F217AF74}"/>
    <cellStyle name="Normal 8 2 2 12" xfId="9954" xr:uid="{347BE662-F126-4116-9FB3-0A7F4A0746B3}"/>
    <cellStyle name="Normal 8 2 2 2" xfId="481" xr:uid="{00000000-0005-0000-0000-0000F51B0000}"/>
    <cellStyle name="Normal 8 2 2 2 10" xfId="8836" xr:uid="{870E50AF-610D-4E0C-BDE0-389D6B32A0FA}"/>
    <cellStyle name="Normal 8 2 2 2 10 2" xfId="18160" xr:uid="{E4F0F8F3-9389-45FF-AD3F-DC7ECD5AC2D7}"/>
    <cellStyle name="Normal 8 2 2 2 11" xfId="9955" xr:uid="{3D669284-EC67-43E3-A5F9-5F68E7DCD19C}"/>
    <cellStyle name="Normal 8 2 2 2 2" xfId="482" xr:uid="{00000000-0005-0000-0000-0000F61B0000}"/>
    <cellStyle name="Normal 8 2 2 2 2 10" xfId="9956" xr:uid="{781F00DA-31A7-4018-A5D4-C1F6E40BF471}"/>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2 2 2" xfId="16732" xr:uid="{96E5FEC5-AC6A-4C3B-B3E2-6873C7253A3C}"/>
    <cellStyle name="Normal 8 2 2 2 2 2 2 2 3" xfId="12515" xr:uid="{09F13BCA-D6DC-40E4-8DB4-9F07FDEA0044}"/>
    <cellStyle name="Normal 8 2 2 2 2 2 2 3" xfId="5261" xr:uid="{00000000-0005-0000-0000-0000FB1B0000}"/>
    <cellStyle name="Normal 8 2 2 2 2 2 2 3 2" xfId="14587" xr:uid="{443FBB45-31CB-4FE0-9144-FB3F9BDA6B19}"/>
    <cellStyle name="Normal 8 2 2 2 2 2 2 4" xfId="9571" xr:uid="{B467C179-FE08-45F9-B1E6-E66379D80EBC}"/>
    <cellStyle name="Normal 8 2 2 2 2 2 2 4 2" xfId="18886" xr:uid="{B41782EB-E72F-4366-B9D0-16CC3260C233}"/>
    <cellStyle name="Normal 8 2 2 2 2 2 2 5" xfId="10370" xr:uid="{480542A9-8755-46D3-817E-46ACB73881DD}"/>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2 2 2" xfId="17145" xr:uid="{683BE792-B6BF-4CF5-B08B-2B9328E67E26}"/>
    <cellStyle name="Normal 8 2 2 2 2 2 3 2 3" xfId="12928" xr:uid="{0DC2CCB1-789A-4D90-B906-E8DAED44F108}"/>
    <cellStyle name="Normal 8 2 2 2 2 2 3 3" xfId="5674" xr:uid="{00000000-0005-0000-0000-0000FF1B0000}"/>
    <cellStyle name="Normal 8 2 2 2 2 2 3 3 2" xfId="15000" xr:uid="{2D00C014-825D-4600-9D7E-492CC759AB86}"/>
    <cellStyle name="Normal 8 2 2 2 2 2 3 4" xfId="10783" xr:uid="{25A547B0-AE81-4C2C-8EAB-7AFD72E1949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2 2 2" xfId="17558" xr:uid="{EB43AEB1-C3FF-4C93-94DF-6F402E2F4FFB}"/>
    <cellStyle name="Normal 8 2 2 2 2 2 4 2 3" xfId="13341" xr:uid="{A0591EF1-D810-4119-A206-42DC4267B3B4}"/>
    <cellStyle name="Normal 8 2 2 2 2 2 4 3" xfId="6087" xr:uid="{00000000-0005-0000-0000-0000031C0000}"/>
    <cellStyle name="Normal 8 2 2 2 2 2 4 3 2" xfId="15413" xr:uid="{03C45097-169E-4F3E-8A8B-AF12094D0DDD}"/>
    <cellStyle name="Normal 8 2 2 2 2 2 4 4" xfId="11196" xr:uid="{A3B7768E-C062-45BA-9394-C2EAF8C5CD06}"/>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2 2 2" xfId="17971" xr:uid="{779D7A08-D3CA-4D79-A4EA-D1149A737016}"/>
    <cellStyle name="Normal 8 2 2 2 2 2 5 2 3" xfId="13754" xr:uid="{A3089203-777E-4CC9-ADFB-B497C898127E}"/>
    <cellStyle name="Normal 8 2 2 2 2 2 5 3" xfId="6500" xr:uid="{00000000-0005-0000-0000-0000071C0000}"/>
    <cellStyle name="Normal 8 2 2 2 2 2 5 3 2" xfId="15826" xr:uid="{153BA55E-D0A4-41A8-932C-AEA332E75D14}"/>
    <cellStyle name="Normal 8 2 2 2 2 2 5 4" xfId="11609" xr:uid="{88E5EAEF-A842-49EA-9B80-76EFE8423A25}"/>
    <cellStyle name="Normal 8 2 2 2 2 2 6" xfId="2630" xr:uid="{00000000-0005-0000-0000-0000081C0000}"/>
    <cellStyle name="Normal 8 2 2 2 2 2 6 2" xfId="6913" xr:uid="{00000000-0005-0000-0000-0000091C0000}"/>
    <cellStyle name="Normal 8 2 2 2 2 2 6 2 2" xfId="16239" xr:uid="{95B0F903-68C6-4331-ACFB-BA05AAD5AE07}"/>
    <cellStyle name="Normal 8 2 2 2 2 2 6 3" xfId="12022" xr:uid="{F74DA9A8-BF74-4019-939F-D75A8415BD93}"/>
    <cellStyle name="Normal 8 2 2 2 2 2 7" xfId="4848" xr:uid="{00000000-0005-0000-0000-00000A1C0000}"/>
    <cellStyle name="Normal 8 2 2 2 2 2 7 2" xfId="14174" xr:uid="{F31ACF93-A489-4F8C-92D9-F0852A9A95C7}"/>
    <cellStyle name="Normal 8 2 2 2 2 2 8" xfId="9146" xr:uid="{0E570703-055D-406D-8BD9-575AF6037A75}"/>
    <cellStyle name="Normal 8 2 2 2 2 2 8 2" xfId="18470" xr:uid="{119A8675-0BA7-43D3-877F-EEF482056B97}"/>
    <cellStyle name="Normal 8 2 2 2 2 2 9" xfId="9957" xr:uid="{7DC4D5DB-18C5-47B7-A82B-07AA50CD3E17}"/>
    <cellStyle name="Normal 8 2 2 2 2 3" xfId="949" xr:uid="{00000000-0005-0000-0000-00000B1C0000}"/>
    <cellStyle name="Normal 8 2 2 2 2 3 2" xfId="3183" xr:uid="{00000000-0005-0000-0000-00000C1C0000}"/>
    <cellStyle name="Normal 8 2 2 2 2 3 2 2" xfId="7405" xr:uid="{00000000-0005-0000-0000-00000D1C0000}"/>
    <cellStyle name="Normal 8 2 2 2 2 3 2 2 2" xfId="16731" xr:uid="{52095043-F152-4D76-904E-8F5D072989EC}"/>
    <cellStyle name="Normal 8 2 2 2 2 3 2 3" xfId="12514" xr:uid="{98F2EB92-D213-4623-8E89-FE1E5E325431}"/>
    <cellStyle name="Normal 8 2 2 2 2 3 3" xfId="5260" xr:uid="{00000000-0005-0000-0000-00000E1C0000}"/>
    <cellStyle name="Normal 8 2 2 2 2 3 3 2" xfId="14586" xr:uid="{9B7ED02A-57F5-4B7E-B0B2-1EF58E74E7F0}"/>
    <cellStyle name="Normal 8 2 2 2 2 3 4" xfId="9364" xr:uid="{21426B7C-FC96-483C-B560-AC4767107497}"/>
    <cellStyle name="Normal 8 2 2 2 2 3 4 2" xfId="18679" xr:uid="{C8024A31-9AD0-4E74-8F5D-2DE81381FC96}"/>
    <cellStyle name="Normal 8 2 2 2 2 3 5" xfId="10369" xr:uid="{AB954EC6-A159-4E62-A6E5-84125FB0D221}"/>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2 2 2" xfId="17144" xr:uid="{3D947537-F04C-4F95-BE55-992252596AC2}"/>
    <cellStyle name="Normal 8 2 2 2 2 4 2 3" xfId="12927" xr:uid="{267F441F-01F4-4631-A1BE-9BAEC6ADFC58}"/>
    <cellStyle name="Normal 8 2 2 2 2 4 3" xfId="5673" xr:uid="{00000000-0005-0000-0000-0000121C0000}"/>
    <cellStyle name="Normal 8 2 2 2 2 4 3 2" xfId="14999" xr:uid="{07829E34-4D00-4C3E-960F-E12E690815E1}"/>
    <cellStyle name="Normal 8 2 2 2 2 4 4" xfId="10782" xr:uid="{C50B1ABA-95E1-44AF-8606-729FC453E19B}"/>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2 2 2" xfId="17557" xr:uid="{A7F88C26-A93A-4C9D-9D8C-8C25CBB9F021}"/>
    <cellStyle name="Normal 8 2 2 2 2 5 2 3" xfId="13340" xr:uid="{D1F90E12-ED6A-4AA5-B7B4-6699D5411088}"/>
    <cellStyle name="Normal 8 2 2 2 2 5 3" xfId="6086" xr:uid="{00000000-0005-0000-0000-0000161C0000}"/>
    <cellStyle name="Normal 8 2 2 2 2 5 3 2" xfId="15412" xr:uid="{C3111BC4-5F32-4348-B0D4-0836BB5E55B7}"/>
    <cellStyle name="Normal 8 2 2 2 2 5 4" xfId="11195" xr:uid="{62489507-B918-47AB-8209-8DAD59E3B0D4}"/>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2 2 2" xfId="17970" xr:uid="{FD587C05-F959-4FF3-8B4A-3A44FEAA7719}"/>
    <cellStyle name="Normal 8 2 2 2 2 6 2 3" xfId="13753" xr:uid="{6F8FED5C-2254-4D4F-AABA-05B69E39286C}"/>
    <cellStyle name="Normal 8 2 2 2 2 6 3" xfId="6499" xr:uid="{00000000-0005-0000-0000-00001A1C0000}"/>
    <cellStyle name="Normal 8 2 2 2 2 6 3 2" xfId="15825" xr:uid="{0ED6B62A-1C35-4222-8437-F84CACBA4A22}"/>
    <cellStyle name="Normal 8 2 2 2 2 6 4" xfId="11608" xr:uid="{139C7763-64B0-42F4-9556-4DF83A8D78BF}"/>
    <cellStyle name="Normal 8 2 2 2 2 7" xfId="2629" xr:uid="{00000000-0005-0000-0000-00001B1C0000}"/>
    <cellStyle name="Normal 8 2 2 2 2 7 2" xfId="6912" xr:uid="{00000000-0005-0000-0000-00001C1C0000}"/>
    <cellStyle name="Normal 8 2 2 2 2 7 2 2" xfId="16238" xr:uid="{1DDF387F-5E25-4FDD-A504-4A86C4172BA6}"/>
    <cellStyle name="Normal 8 2 2 2 2 7 3" xfId="12021" xr:uid="{82C4D277-75DB-4400-829B-55558B2E74BF}"/>
    <cellStyle name="Normal 8 2 2 2 2 8" xfId="4847" xr:uid="{00000000-0005-0000-0000-00001D1C0000}"/>
    <cellStyle name="Normal 8 2 2 2 2 8 2" xfId="14173" xr:uid="{C6C0CBB9-7F12-4AC9-B36D-19D93297F3E1}"/>
    <cellStyle name="Normal 8 2 2 2 2 9" xfId="8939" xr:uid="{385BAC75-25D1-414A-8E33-9B6DCCA130DE}"/>
    <cellStyle name="Normal 8 2 2 2 2 9 2" xfId="18263" xr:uid="{0E1BF84E-CCC6-48AD-A22E-5D6466DC296A}"/>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2 2 2" xfId="16733" xr:uid="{DC5C9252-5B2C-4B44-B8C0-4071D49CAE6E}"/>
    <cellStyle name="Normal 8 2 2 2 3 2 2 3" xfId="12516" xr:uid="{BC034EDF-AD19-4213-8A74-01A555B05CF1}"/>
    <cellStyle name="Normal 8 2 2 2 3 2 3" xfId="5262" xr:uid="{00000000-0005-0000-0000-0000221C0000}"/>
    <cellStyle name="Normal 8 2 2 2 3 2 3 2" xfId="14588" xr:uid="{7295AC6D-EA95-4558-9C54-0C5648E60346}"/>
    <cellStyle name="Normal 8 2 2 2 3 2 4" xfId="9468" xr:uid="{8CC4AD0E-72B4-4935-8967-B171D7B5EF8D}"/>
    <cellStyle name="Normal 8 2 2 2 3 2 4 2" xfId="18783" xr:uid="{4B06B8D4-0C59-47D2-8FBC-7BAE7A86A40E}"/>
    <cellStyle name="Normal 8 2 2 2 3 2 5" xfId="10371" xr:uid="{B8743544-5CC6-476B-8F87-00F05F14A3F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2 2 2" xfId="17146" xr:uid="{81ADFD35-6DBC-4111-9E4D-D1D4DD1748A3}"/>
    <cellStyle name="Normal 8 2 2 2 3 3 2 3" xfId="12929" xr:uid="{513DF1D9-01A6-4B14-83EE-E61BBC7DEEAA}"/>
    <cellStyle name="Normal 8 2 2 2 3 3 3" xfId="5675" xr:uid="{00000000-0005-0000-0000-0000261C0000}"/>
    <cellStyle name="Normal 8 2 2 2 3 3 3 2" xfId="15001" xr:uid="{B445E638-C10D-49EC-8F37-AFBC24CDE08E}"/>
    <cellStyle name="Normal 8 2 2 2 3 3 4" xfId="10784" xr:uid="{FF0D1E94-8A30-40F5-A04B-76F073799FA3}"/>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2 2 2" xfId="17559" xr:uid="{ABE34068-6F4C-4106-AC8E-ADF7FDF0C212}"/>
    <cellStyle name="Normal 8 2 2 2 3 4 2 3" xfId="13342" xr:uid="{128FF3FD-962C-4723-A54B-5C032DE2A091}"/>
    <cellStyle name="Normal 8 2 2 2 3 4 3" xfId="6088" xr:uid="{00000000-0005-0000-0000-00002A1C0000}"/>
    <cellStyle name="Normal 8 2 2 2 3 4 3 2" xfId="15414" xr:uid="{20A371A7-63B1-489F-A5BE-F58E5B5F42AE}"/>
    <cellStyle name="Normal 8 2 2 2 3 4 4" xfId="11197" xr:uid="{F5F988E2-86A8-4096-A71C-2DE95640E5D8}"/>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2 2 2" xfId="17972" xr:uid="{7E40E394-EAE2-4DBF-9618-1F9BDE6A9FCE}"/>
    <cellStyle name="Normal 8 2 2 2 3 5 2 3" xfId="13755" xr:uid="{B7E3221C-8E0C-42EE-9D91-C7B495E9C421}"/>
    <cellStyle name="Normal 8 2 2 2 3 5 3" xfId="6501" xr:uid="{00000000-0005-0000-0000-00002E1C0000}"/>
    <cellStyle name="Normal 8 2 2 2 3 5 3 2" xfId="15827" xr:uid="{90214D16-437E-4049-83AB-61119DD50469}"/>
    <cellStyle name="Normal 8 2 2 2 3 5 4" xfId="11610" xr:uid="{66AC2423-EE5E-41D8-99E3-43795731D294}"/>
    <cellStyle name="Normal 8 2 2 2 3 6" xfId="2631" xr:uid="{00000000-0005-0000-0000-00002F1C0000}"/>
    <cellStyle name="Normal 8 2 2 2 3 6 2" xfId="6914" xr:uid="{00000000-0005-0000-0000-0000301C0000}"/>
    <cellStyle name="Normal 8 2 2 2 3 6 2 2" xfId="16240" xr:uid="{A1562D5D-8252-468F-B19C-47A23AC04F54}"/>
    <cellStyle name="Normal 8 2 2 2 3 6 3" xfId="12023" xr:uid="{1D20FD40-BB29-4A2E-85F7-79AB78D4E4D6}"/>
    <cellStyle name="Normal 8 2 2 2 3 7" xfId="4849" xr:uid="{00000000-0005-0000-0000-0000311C0000}"/>
    <cellStyle name="Normal 8 2 2 2 3 7 2" xfId="14175" xr:uid="{1016D999-837C-4793-9803-2DD2F5A876A6}"/>
    <cellStyle name="Normal 8 2 2 2 3 8" xfId="9043" xr:uid="{BAC463DF-40A7-4F07-ADD3-7274E57F505C}"/>
    <cellStyle name="Normal 8 2 2 2 3 8 2" xfId="18367" xr:uid="{726E16EB-9B51-4CE7-865A-66623AD515DD}"/>
    <cellStyle name="Normal 8 2 2 2 3 9" xfId="9958" xr:uid="{77780930-E77F-4382-9A63-E9FEF1DACC1E}"/>
    <cellStyle name="Normal 8 2 2 2 4" xfId="948" xr:uid="{00000000-0005-0000-0000-0000321C0000}"/>
    <cellStyle name="Normal 8 2 2 2 4 2" xfId="3182" xr:uid="{00000000-0005-0000-0000-0000331C0000}"/>
    <cellStyle name="Normal 8 2 2 2 4 2 2" xfId="7404" xr:uid="{00000000-0005-0000-0000-0000341C0000}"/>
    <cellStyle name="Normal 8 2 2 2 4 2 2 2" xfId="16730" xr:uid="{36257BB2-B127-437E-86C9-934622849646}"/>
    <cellStyle name="Normal 8 2 2 2 4 2 3" xfId="12513" xr:uid="{EF2E0D9A-6CD5-4521-90A3-5EB57EE114E8}"/>
    <cellStyle name="Normal 8 2 2 2 4 3" xfId="5259" xr:uid="{00000000-0005-0000-0000-0000351C0000}"/>
    <cellStyle name="Normal 8 2 2 2 4 3 2" xfId="14585" xr:uid="{5F5A097B-F7E2-4E64-A4B9-7720E72117D6}"/>
    <cellStyle name="Normal 8 2 2 2 4 4" xfId="9261" xr:uid="{70C29865-A6DE-4682-9EB1-83E4E07FD0A7}"/>
    <cellStyle name="Normal 8 2 2 2 4 4 2" xfId="18576" xr:uid="{358019EA-5356-4DCC-89F0-B5F94947147F}"/>
    <cellStyle name="Normal 8 2 2 2 4 5" xfId="10368" xr:uid="{BC91288C-DD02-49AA-8FE0-26DE289A443C}"/>
    <cellStyle name="Normal 8 2 2 2 5" xfId="1365" xr:uid="{00000000-0005-0000-0000-0000361C0000}"/>
    <cellStyle name="Normal 8 2 2 2 5 2" xfId="3595" xr:uid="{00000000-0005-0000-0000-0000371C0000}"/>
    <cellStyle name="Normal 8 2 2 2 5 2 2" xfId="7817" xr:uid="{00000000-0005-0000-0000-0000381C0000}"/>
    <cellStyle name="Normal 8 2 2 2 5 2 2 2" xfId="17143" xr:uid="{65FAA420-2CC2-4E39-AE8A-8E90ABEF3EF1}"/>
    <cellStyle name="Normal 8 2 2 2 5 2 3" xfId="12926" xr:uid="{0E0F3F8B-8074-4F77-A5BD-45AB4575D309}"/>
    <cellStyle name="Normal 8 2 2 2 5 3" xfId="5672" xr:uid="{00000000-0005-0000-0000-0000391C0000}"/>
    <cellStyle name="Normal 8 2 2 2 5 3 2" xfId="14998" xr:uid="{3580B816-E386-4DCB-9A00-A8BAC0CCB744}"/>
    <cellStyle name="Normal 8 2 2 2 5 4" xfId="10781" xr:uid="{477A73AA-BFE6-4B17-85CA-0FAE1F94CD4C}"/>
    <cellStyle name="Normal 8 2 2 2 6" xfId="1778" xr:uid="{00000000-0005-0000-0000-00003A1C0000}"/>
    <cellStyle name="Normal 8 2 2 2 6 2" xfId="4008" xr:uid="{00000000-0005-0000-0000-00003B1C0000}"/>
    <cellStyle name="Normal 8 2 2 2 6 2 2" xfId="8230" xr:uid="{00000000-0005-0000-0000-00003C1C0000}"/>
    <cellStyle name="Normal 8 2 2 2 6 2 2 2" xfId="17556" xr:uid="{7D1966E6-89A7-4488-8819-C5B57064D552}"/>
    <cellStyle name="Normal 8 2 2 2 6 2 3" xfId="13339" xr:uid="{B3EC368C-F86C-40F1-904F-BCB52E1DBD3A}"/>
    <cellStyle name="Normal 8 2 2 2 6 3" xfId="6085" xr:uid="{00000000-0005-0000-0000-00003D1C0000}"/>
    <cellStyle name="Normal 8 2 2 2 6 3 2" xfId="15411" xr:uid="{9CF6124A-4205-45BD-9FF3-4B410E9ADCE7}"/>
    <cellStyle name="Normal 8 2 2 2 6 4" xfId="11194" xr:uid="{A84679DB-D1E0-4CFE-8FE7-D86C4D5EE972}"/>
    <cellStyle name="Normal 8 2 2 2 7" xfId="2192" xr:uid="{00000000-0005-0000-0000-00003E1C0000}"/>
    <cellStyle name="Normal 8 2 2 2 7 2" xfId="4421" xr:uid="{00000000-0005-0000-0000-00003F1C0000}"/>
    <cellStyle name="Normal 8 2 2 2 7 2 2" xfId="8643" xr:uid="{00000000-0005-0000-0000-0000401C0000}"/>
    <cellStyle name="Normal 8 2 2 2 7 2 2 2" xfId="17969" xr:uid="{17553D96-E37D-43F4-89C8-54F24BF0F14F}"/>
    <cellStyle name="Normal 8 2 2 2 7 2 3" xfId="13752" xr:uid="{0BDFABBD-11AA-4D47-9E78-8F8BBEC6B83C}"/>
    <cellStyle name="Normal 8 2 2 2 7 3" xfId="6498" xr:uid="{00000000-0005-0000-0000-0000411C0000}"/>
    <cellStyle name="Normal 8 2 2 2 7 3 2" xfId="15824" xr:uid="{B470FE76-0975-4368-BC5A-80336C7AA1E1}"/>
    <cellStyle name="Normal 8 2 2 2 7 4" xfId="11607" xr:uid="{2EFF086A-16ED-4360-98E6-7858E3F765BB}"/>
    <cellStyle name="Normal 8 2 2 2 8" xfId="2628" xr:uid="{00000000-0005-0000-0000-0000421C0000}"/>
    <cellStyle name="Normal 8 2 2 2 8 2" xfId="6911" xr:uid="{00000000-0005-0000-0000-0000431C0000}"/>
    <cellStyle name="Normal 8 2 2 2 8 2 2" xfId="16237" xr:uid="{CE0FC418-9B77-4979-8058-31F6145A6589}"/>
    <cellStyle name="Normal 8 2 2 2 8 3" xfId="12020" xr:uid="{910BE835-56DD-41F1-87EF-9C8EAD5B2728}"/>
    <cellStyle name="Normal 8 2 2 2 9" xfId="4846" xr:uid="{00000000-0005-0000-0000-0000441C0000}"/>
    <cellStyle name="Normal 8 2 2 2 9 2" xfId="14172" xr:uid="{BE55439E-7CEF-43F9-A61A-CB6F4F367077}"/>
    <cellStyle name="Normal 8 2 2 3" xfId="485" xr:uid="{00000000-0005-0000-0000-0000451C0000}"/>
    <cellStyle name="Normal 8 2 2 3 10" xfId="9959" xr:uid="{D0FD78F9-2FC7-4388-B1C5-1E4394D75E4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2 2 2" xfId="16735" xr:uid="{BDA46D7F-BE32-407C-A57C-A91007478AAC}"/>
    <cellStyle name="Normal 8 2 2 3 2 2 2 3" xfId="12518" xr:uid="{2977AD51-62CB-45F0-8B88-848F6C973C1E}"/>
    <cellStyle name="Normal 8 2 2 3 2 2 3" xfId="5264" xr:uid="{00000000-0005-0000-0000-00004A1C0000}"/>
    <cellStyle name="Normal 8 2 2 3 2 2 3 2" xfId="14590" xr:uid="{BFF3C515-F6F6-454C-8427-4DABB5D1D018}"/>
    <cellStyle name="Normal 8 2 2 3 2 2 4" xfId="9518" xr:uid="{FDE93D5E-A6D1-456B-8726-FC2AB8FD16A4}"/>
    <cellStyle name="Normal 8 2 2 3 2 2 4 2" xfId="18833" xr:uid="{9CE64836-9283-4FBF-8AD0-62FC7A6B0F2B}"/>
    <cellStyle name="Normal 8 2 2 3 2 2 5" xfId="10373" xr:uid="{B28C0936-3633-41DD-9AAB-B290B9E2874B}"/>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2 2 2" xfId="17148" xr:uid="{D8F7CDA5-11F7-4E2F-A8ED-1E05C21E19C3}"/>
    <cellStyle name="Normal 8 2 2 3 2 3 2 3" xfId="12931" xr:uid="{BA007D28-021C-46B2-A326-3A1E566EEED3}"/>
    <cellStyle name="Normal 8 2 2 3 2 3 3" xfId="5677" xr:uid="{00000000-0005-0000-0000-00004E1C0000}"/>
    <cellStyle name="Normal 8 2 2 3 2 3 3 2" xfId="15003" xr:uid="{FA7A1F1C-0799-4E0F-8139-F100C463EF82}"/>
    <cellStyle name="Normal 8 2 2 3 2 3 4" xfId="10786" xr:uid="{17D4807A-E8F7-428C-93CD-2AD33495D87E}"/>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2 2 2" xfId="17561" xr:uid="{7677A9BE-EB2B-4698-AB2F-C04774DB8093}"/>
    <cellStyle name="Normal 8 2 2 3 2 4 2 3" xfId="13344" xr:uid="{D73BECE8-7FAA-4039-B915-342AB1280747}"/>
    <cellStyle name="Normal 8 2 2 3 2 4 3" xfId="6090" xr:uid="{00000000-0005-0000-0000-0000521C0000}"/>
    <cellStyle name="Normal 8 2 2 3 2 4 3 2" xfId="15416" xr:uid="{CD20A647-BB67-498D-B340-FE4ED79BAE9A}"/>
    <cellStyle name="Normal 8 2 2 3 2 4 4" xfId="11199" xr:uid="{406FC741-1D4C-44AF-8791-27CC48B7D10C}"/>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2 2 2" xfId="17974" xr:uid="{2DD3E975-EF61-4BA9-8D53-6D07E9B5ED83}"/>
    <cellStyle name="Normal 8 2 2 3 2 5 2 3" xfId="13757" xr:uid="{B5EF8D9E-1030-45F0-A764-BDCD240EA418}"/>
    <cellStyle name="Normal 8 2 2 3 2 5 3" xfId="6503" xr:uid="{00000000-0005-0000-0000-0000561C0000}"/>
    <cellStyle name="Normal 8 2 2 3 2 5 3 2" xfId="15829" xr:uid="{01C6C958-C870-4247-893C-596AE0225406}"/>
    <cellStyle name="Normal 8 2 2 3 2 5 4" xfId="11612" xr:uid="{18EA29D5-B235-4DEE-BC9A-7399DC8B2F69}"/>
    <cellStyle name="Normal 8 2 2 3 2 6" xfId="2633" xr:uid="{00000000-0005-0000-0000-0000571C0000}"/>
    <cellStyle name="Normal 8 2 2 3 2 6 2" xfId="6916" xr:uid="{00000000-0005-0000-0000-0000581C0000}"/>
    <cellStyle name="Normal 8 2 2 3 2 6 2 2" xfId="16242" xr:uid="{D2206E8D-AD50-4D55-9C2E-FFDC68EE4F5C}"/>
    <cellStyle name="Normal 8 2 2 3 2 6 3" xfId="12025" xr:uid="{4952526F-8FED-4F09-B675-60427D3AD775}"/>
    <cellStyle name="Normal 8 2 2 3 2 7" xfId="4851" xr:uid="{00000000-0005-0000-0000-0000591C0000}"/>
    <cellStyle name="Normal 8 2 2 3 2 7 2" xfId="14177" xr:uid="{2839D02B-5085-4B9E-8671-FE6D86934AF5}"/>
    <cellStyle name="Normal 8 2 2 3 2 8" xfId="9093" xr:uid="{ADE34C72-BCCB-477C-B66A-BE7159CEB281}"/>
    <cellStyle name="Normal 8 2 2 3 2 8 2" xfId="18417" xr:uid="{4DEB1F87-659C-483D-AAFE-2FAB866B25FC}"/>
    <cellStyle name="Normal 8 2 2 3 2 9" xfId="9960" xr:uid="{CE175733-8066-4A78-925D-89E4A8A4A55F}"/>
    <cellStyle name="Normal 8 2 2 3 3" xfId="952" xr:uid="{00000000-0005-0000-0000-00005A1C0000}"/>
    <cellStyle name="Normal 8 2 2 3 3 2" xfId="3186" xr:uid="{00000000-0005-0000-0000-00005B1C0000}"/>
    <cellStyle name="Normal 8 2 2 3 3 2 2" xfId="7408" xr:uid="{00000000-0005-0000-0000-00005C1C0000}"/>
    <cellStyle name="Normal 8 2 2 3 3 2 2 2" xfId="16734" xr:uid="{FE153145-C7A8-43F1-AEA5-01E6C30E14AC}"/>
    <cellStyle name="Normal 8 2 2 3 3 2 3" xfId="12517" xr:uid="{823A69D1-5290-4796-890A-D8E91A9A7631}"/>
    <cellStyle name="Normal 8 2 2 3 3 3" xfId="5263" xr:uid="{00000000-0005-0000-0000-00005D1C0000}"/>
    <cellStyle name="Normal 8 2 2 3 3 3 2" xfId="14589" xr:uid="{F40FE873-48A0-41A1-BDB4-61D4308E3945}"/>
    <cellStyle name="Normal 8 2 2 3 3 4" xfId="9311" xr:uid="{F4618F1E-1235-4269-B5C6-B09BE5034F6C}"/>
    <cellStyle name="Normal 8 2 2 3 3 4 2" xfId="18626" xr:uid="{A425450D-0D0A-4FC1-ADB8-9B14C10982B4}"/>
    <cellStyle name="Normal 8 2 2 3 3 5" xfId="10372" xr:uid="{EC9870C0-D275-4DBE-A1AB-5093814D65A0}"/>
    <cellStyle name="Normal 8 2 2 3 4" xfId="1369" xr:uid="{00000000-0005-0000-0000-00005E1C0000}"/>
    <cellStyle name="Normal 8 2 2 3 4 2" xfId="3599" xr:uid="{00000000-0005-0000-0000-00005F1C0000}"/>
    <cellStyle name="Normal 8 2 2 3 4 2 2" xfId="7821" xr:uid="{00000000-0005-0000-0000-0000601C0000}"/>
    <cellStyle name="Normal 8 2 2 3 4 2 2 2" xfId="17147" xr:uid="{3BAD28C0-4750-439A-98CD-E9405A374387}"/>
    <cellStyle name="Normal 8 2 2 3 4 2 3" xfId="12930" xr:uid="{451FD6CE-98B0-4F4E-B68F-0392036930C1}"/>
    <cellStyle name="Normal 8 2 2 3 4 3" xfId="5676" xr:uid="{00000000-0005-0000-0000-0000611C0000}"/>
    <cellStyle name="Normal 8 2 2 3 4 3 2" xfId="15002" xr:uid="{C0AFB867-28ED-4BFC-A187-F761E4232E43}"/>
    <cellStyle name="Normal 8 2 2 3 4 4" xfId="10785" xr:uid="{8154D48C-BA14-4495-AF34-D6A67F8937E2}"/>
    <cellStyle name="Normal 8 2 2 3 5" xfId="1782" xr:uid="{00000000-0005-0000-0000-0000621C0000}"/>
    <cellStyle name="Normal 8 2 2 3 5 2" xfId="4012" xr:uid="{00000000-0005-0000-0000-0000631C0000}"/>
    <cellStyle name="Normal 8 2 2 3 5 2 2" xfId="8234" xr:uid="{00000000-0005-0000-0000-0000641C0000}"/>
    <cellStyle name="Normal 8 2 2 3 5 2 2 2" xfId="17560" xr:uid="{CBBD7066-865D-447D-B300-DA74EBE8983C}"/>
    <cellStyle name="Normal 8 2 2 3 5 2 3" xfId="13343" xr:uid="{7E03433F-7402-4137-AE74-50C7465124E4}"/>
    <cellStyle name="Normal 8 2 2 3 5 3" xfId="6089" xr:uid="{00000000-0005-0000-0000-0000651C0000}"/>
    <cellStyle name="Normal 8 2 2 3 5 3 2" xfId="15415" xr:uid="{119DD4BC-EAD4-4385-9358-A878C3EF1196}"/>
    <cellStyle name="Normal 8 2 2 3 5 4" xfId="11198" xr:uid="{561344A0-0E0D-49A8-B9D5-FF4B6A49E0E4}"/>
    <cellStyle name="Normal 8 2 2 3 6" xfId="2196" xr:uid="{00000000-0005-0000-0000-0000661C0000}"/>
    <cellStyle name="Normal 8 2 2 3 6 2" xfId="4425" xr:uid="{00000000-0005-0000-0000-0000671C0000}"/>
    <cellStyle name="Normal 8 2 2 3 6 2 2" xfId="8647" xr:uid="{00000000-0005-0000-0000-0000681C0000}"/>
    <cellStyle name="Normal 8 2 2 3 6 2 2 2" xfId="17973" xr:uid="{F80B6629-94E5-431B-80BA-DC1E5E33274F}"/>
    <cellStyle name="Normal 8 2 2 3 6 2 3" xfId="13756" xr:uid="{932FD472-39DE-4B0D-B5DF-F814AC9ACC74}"/>
    <cellStyle name="Normal 8 2 2 3 6 3" xfId="6502" xr:uid="{00000000-0005-0000-0000-0000691C0000}"/>
    <cellStyle name="Normal 8 2 2 3 6 3 2" xfId="15828" xr:uid="{9EA22D47-B4D9-4E49-9B59-C0B702B2C4AA}"/>
    <cellStyle name="Normal 8 2 2 3 6 4" xfId="11611" xr:uid="{4A44B731-D020-4D1A-AB05-FE36E519C79E}"/>
    <cellStyle name="Normal 8 2 2 3 7" xfId="2632" xr:uid="{00000000-0005-0000-0000-00006A1C0000}"/>
    <cellStyle name="Normal 8 2 2 3 7 2" xfId="6915" xr:uid="{00000000-0005-0000-0000-00006B1C0000}"/>
    <cellStyle name="Normal 8 2 2 3 7 2 2" xfId="16241" xr:uid="{6D0A0565-6C89-43F3-9F6C-C01F6C23C076}"/>
    <cellStyle name="Normal 8 2 2 3 7 3" xfId="12024" xr:uid="{5F06CA86-2089-4A2B-8BC0-4725EAAC76E7}"/>
    <cellStyle name="Normal 8 2 2 3 8" xfId="4850" xr:uid="{00000000-0005-0000-0000-00006C1C0000}"/>
    <cellStyle name="Normal 8 2 2 3 8 2" xfId="14176" xr:uid="{A9E11506-66A9-4D71-A58C-439B4B8D263A}"/>
    <cellStyle name="Normal 8 2 2 3 9" xfId="8886" xr:uid="{B2A45ACA-2377-4A40-A818-E7106AD46E30}"/>
    <cellStyle name="Normal 8 2 2 3 9 2" xfId="18210" xr:uid="{CB0EDB7F-E580-47C1-8C77-F0DDD0AEB8B8}"/>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2 2 2" xfId="16736" xr:uid="{1B2C0566-5FA2-4B0C-A036-5BD921E28E20}"/>
    <cellStyle name="Normal 8 2 2 4 2 2 3" xfId="12519" xr:uid="{FFED99C4-951C-4BB1-B6D2-DCAD7214F712}"/>
    <cellStyle name="Normal 8 2 2 4 2 3" xfId="5265" xr:uid="{00000000-0005-0000-0000-0000711C0000}"/>
    <cellStyle name="Normal 8 2 2 4 2 3 2" xfId="14591" xr:uid="{0EC8A37B-33B7-4FC4-93F4-84671B2557C0}"/>
    <cellStyle name="Normal 8 2 2 4 2 4" xfId="9415" xr:uid="{88D7FF95-DEA9-4369-BE01-487FC7B2B7E8}"/>
    <cellStyle name="Normal 8 2 2 4 2 4 2" xfId="18730" xr:uid="{03A9A331-A87F-4DBC-8BC8-8A7A4C39490A}"/>
    <cellStyle name="Normal 8 2 2 4 2 5" xfId="10374" xr:uid="{3127C416-C146-4200-95A2-DD4075015B7A}"/>
    <cellStyle name="Normal 8 2 2 4 3" xfId="1371" xr:uid="{00000000-0005-0000-0000-0000721C0000}"/>
    <cellStyle name="Normal 8 2 2 4 3 2" xfId="3601" xr:uid="{00000000-0005-0000-0000-0000731C0000}"/>
    <cellStyle name="Normal 8 2 2 4 3 2 2" xfId="7823" xr:uid="{00000000-0005-0000-0000-0000741C0000}"/>
    <cellStyle name="Normal 8 2 2 4 3 2 2 2" xfId="17149" xr:uid="{A71288D4-C8DA-4512-ADE6-E5C62C7807F9}"/>
    <cellStyle name="Normal 8 2 2 4 3 2 3" xfId="12932" xr:uid="{FC4FCAF9-2F1E-4723-B02B-9E1E635967E7}"/>
    <cellStyle name="Normal 8 2 2 4 3 3" xfId="5678" xr:uid="{00000000-0005-0000-0000-0000751C0000}"/>
    <cellStyle name="Normal 8 2 2 4 3 3 2" xfId="15004" xr:uid="{C9604F49-B794-4017-A716-08652CDB2D0B}"/>
    <cellStyle name="Normal 8 2 2 4 3 4" xfId="10787" xr:uid="{F738E425-6221-4834-B74D-B47C0320135E}"/>
    <cellStyle name="Normal 8 2 2 4 4" xfId="1784" xr:uid="{00000000-0005-0000-0000-0000761C0000}"/>
    <cellStyle name="Normal 8 2 2 4 4 2" xfId="4014" xr:uid="{00000000-0005-0000-0000-0000771C0000}"/>
    <cellStyle name="Normal 8 2 2 4 4 2 2" xfId="8236" xr:uid="{00000000-0005-0000-0000-0000781C0000}"/>
    <cellStyle name="Normal 8 2 2 4 4 2 2 2" xfId="17562" xr:uid="{FC6B6CDA-7671-4C30-AB16-AF5C5DF10FA8}"/>
    <cellStyle name="Normal 8 2 2 4 4 2 3" xfId="13345" xr:uid="{7ACE58FF-6A7F-43B8-BA81-07EDB868296B}"/>
    <cellStyle name="Normal 8 2 2 4 4 3" xfId="6091" xr:uid="{00000000-0005-0000-0000-0000791C0000}"/>
    <cellStyle name="Normal 8 2 2 4 4 3 2" xfId="15417" xr:uid="{135B9165-767A-474B-A09A-9D349C78F559}"/>
    <cellStyle name="Normal 8 2 2 4 4 4" xfId="11200" xr:uid="{5EFECCE2-4D53-40ED-A229-ECC4310327C9}"/>
    <cellStyle name="Normal 8 2 2 4 5" xfId="2198" xr:uid="{00000000-0005-0000-0000-00007A1C0000}"/>
    <cellStyle name="Normal 8 2 2 4 5 2" xfId="4427" xr:uid="{00000000-0005-0000-0000-00007B1C0000}"/>
    <cellStyle name="Normal 8 2 2 4 5 2 2" xfId="8649" xr:uid="{00000000-0005-0000-0000-00007C1C0000}"/>
    <cellStyle name="Normal 8 2 2 4 5 2 2 2" xfId="17975" xr:uid="{6FCCED77-020A-402B-B58B-2EB1C310CA37}"/>
    <cellStyle name="Normal 8 2 2 4 5 2 3" xfId="13758" xr:uid="{D313EB85-9E41-4CB0-AEE9-79FB4DBBAA2B}"/>
    <cellStyle name="Normal 8 2 2 4 5 3" xfId="6504" xr:uid="{00000000-0005-0000-0000-00007D1C0000}"/>
    <cellStyle name="Normal 8 2 2 4 5 3 2" xfId="15830" xr:uid="{4174538D-D527-4370-B5E3-204587E8DA09}"/>
    <cellStyle name="Normal 8 2 2 4 5 4" xfId="11613" xr:uid="{81E928F4-6881-45A7-B8F0-5E6A45954F52}"/>
    <cellStyle name="Normal 8 2 2 4 6" xfId="2634" xr:uid="{00000000-0005-0000-0000-00007E1C0000}"/>
    <cellStyle name="Normal 8 2 2 4 6 2" xfId="6917" xr:uid="{00000000-0005-0000-0000-00007F1C0000}"/>
    <cellStyle name="Normal 8 2 2 4 6 2 2" xfId="16243" xr:uid="{FD3A7A66-EE82-444E-8CED-36A68D553AD6}"/>
    <cellStyle name="Normal 8 2 2 4 6 3" xfId="12026" xr:uid="{C8963A1D-C14D-40BE-B04B-A23482BB04CD}"/>
    <cellStyle name="Normal 8 2 2 4 7" xfId="4852" xr:uid="{00000000-0005-0000-0000-0000801C0000}"/>
    <cellStyle name="Normal 8 2 2 4 7 2" xfId="14178" xr:uid="{8B91F242-F4B1-4C94-BDCF-36F0255FE942}"/>
    <cellStyle name="Normal 8 2 2 4 8" xfId="8990" xr:uid="{F08D85C9-EB04-4227-BEA0-1B51DDB63DFA}"/>
    <cellStyle name="Normal 8 2 2 4 8 2" xfId="18314" xr:uid="{62B30A45-9663-4713-9B8E-7D62134822E5}"/>
    <cellStyle name="Normal 8 2 2 4 9" xfId="9961" xr:uid="{46934517-3BF7-40F9-9CEA-50BF6838EC01}"/>
    <cellStyle name="Normal 8 2 2 5" xfId="947" xr:uid="{00000000-0005-0000-0000-0000811C0000}"/>
    <cellStyle name="Normal 8 2 2 5 2" xfId="3181" xr:uid="{00000000-0005-0000-0000-0000821C0000}"/>
    <cellStyle name="Normal 8 2 2 5 2 2" xfId="7403" xr:uid="{00000000-0005-0000-0000-0000831C0000}"/>
    <cellStyle name="Normal 8 2 2 5 2 2 2" xfId="16729" xr:uid="{E280F3B4-8CA6-4635-9216-921C0293E8B3}"/>
    <cellStyle name="Normal 8 2 2 5 2 3" xfId="12512" xr:uid="{73094D2C-5644-4D96-AF66-92ABCDE6B2B6}"/>
    <cellStyle name="Normal 8 2 2 5 3" xfId="5258" xr:uid="{00000000-0005-0000-0000-0000841C0000}"/>
    <cellStyle name="Normal 8 2 2 5 3 2" xfId="14584" xr:uid="{242A7675-91EF-47C6-80A6-7BB6B7EA0180}"/>
    <cellStyle name="Normal 8 2 2 5 4" xfId="9207" xr:uid="{D4CDC4D2-5794-400F-B850-1B259D26C1FE}"/>
    <cellStyle name="Normal 8 2 2 5 4 2" xfId="18523" xr:uid="{756AF98A-0B7B-4144-BA75-A18787195B5E}"/>
    <cellStyle name="Normal 8 2 2 5 5" xfId="10367" xr:uid="{C2C365C4-BBAB-4F62-9A5F-898A45CD0B91}"/>
    <cellStyle name="Normal 8 2 2 6" xfId="1364" xr:uid="{00000000-0005-0000-0000-0000851C0000}"/>
    <cellStyle name="Normal 8 2 2 6 2" xfId="3594" xr:uid="{00000000-0005-0000-0000-0000861C0000}"/>
    <cellStyle name="Normal 8 2 2 6 2 2" xfId="7816" xr:uid="{00000000-0005-0000-0000-0000871C0000}"/>
    <cellStyle name="Normal 8 2 2 6 2 2 2" xfId="17142" xr:uid="{C5F3AEE6-8032-4020-B14A-A6F121B8EFF2}"/>
    <cellStyle name="Normal 8 2 2 6 2 3" xfId="12925" xr:uid="{29197141-525C-43C5-8E08-C93549FB9051}"/>
    <cellStyle name="Normal 8 2 2 6 3" xfId="5671" xr:uid="{00000000-0005-0000-0000-0000881C0000}"/>
    <cellStyle name="Normal 8 2 2 6 3 2" xfId="14997" xr:uid="{03EE9352-E2F2-43A9-BBDE-12AF6C498789}"/>
    <cellStyle name="Normal 8 2 2 6 4" xfId="10780" xr:uid="{BEBA551F-C550-4EB7-A764-E86AA969A325}"/>
    <cellStyle name="Normal 8 2 2 7" xfId="1777" xr:uid="{00000000-0005-0000-0000-0000891C0000}"/>
    <cellStyle name="Normal 8 2 2 7 2" xfId="4007" xr:uid="{00000000-0005-0000-0000-00008A1C0000}"/>
    <cellStyle name="Normal 8 2 2 7 2 2" xfId="8229" xr:uid="{00000000-0005-0000-0000-00008B1C0000}"/>
    <cellStyle name="Normal 8 2 2 7 2 2 2" xfId="17555" xr:uid="{93C51E88-8FC3-4662-8231-44F7F7634A68}"/>
    <cellStyle name="Normal 8 2 2 7 2 3" xfId="13338" xr:uid="{8B0F0826-1B67-4B51-8A3D-749D74CC315F}"/>
    <cellStyle name="Normal 8 2 2 7 3" xfId="6084" xr:uid="{00000000-0005-0000-0000-00008C1C0000}"/>
    <cellStyle name="Normal 8 2 2 7 3 2" xfId="15410" xr:uid="{825D853A-EA2D-4216-AF88-C4C33A5FA589}"/>
    <cellStyle name="Normal 8 2 2 7 4" xfId="11193" xr:uid="{78989F79-8181-44FC-BA33-7AF364C40DC5}"/>
    <cellStyle name="Normal 8 2 2 8" xfId="2191" xr:uid="{00000000-0005-0000-0000-00008D1C0000}"/>
    <cellStyle name="Normal 8 2 2 8 2" xfId="4420" xr:uid="{00000000-0005-0000-0000-00008E1C0000}"/>
    <cellStyle name="Normal 8 2 2 8 2 2" xfId="8642" xr:uid="{00000000-0005-0000-0000-00008F1C0000}"/>
    <cellStyle name="Normal 8 2 2 8 2 2 2" xfId="17968" xr:uid="{47379AD2-B197-44FF-B7AB-F9E17315A7F8}"/>
    <cellStyle name="Normal 8 2 2 8 2 3" xfId="13751" xr:uid="{994F2258-0E49-407B-A7B2-1275CA9EAD09}"/>
    <cellStyle name="Normal 8 2 2 8 3" xfId="6497" xr:uid="{00000000-0005-0000-0000-0000901C0000}"/>
    <cellStyle name="Normal 8 2 2 8 3 2" xfId="15823" xr:uid="{E242B4A5-F623-4212-AD50-84CA3FDA7869}"/>
    <cellStyle name="Normal 8 2 2 8 4" xfId="11606" xr:uid="{114FA454-DEB3-4148-8938-4378ABE63BB4}"/>
    <cellStyle name="Normal 8 2 2 9" xfId="2627" xr:uid="{00000000-0005-0000-0000-0000911C0000}"/>
    <cellStyle name="Normal 8 2 2 9 2" xfId="6910" xr:uid="{00000000-0005-0000-0000-0000921C0000}"/>
    <cellStyle name="Normal 8 2 2 9 2 2" xfId="16236" xr:uid="{25DB80C3-5F05-4797-B3BD-D64C3A87719B}"/>
    <cellStyle name="Normal 8 2 2 9 3" xfId="12019" xr:uid="{EF5DB945-B91C-49A8-948C-E267ED3CD677}"/>
    <cellStyle name="Normal 8 2 3" xfId="488" xr:uid="{00000000-0005-0000-0000-0000931C0000}"/>
    <cellStyle name="Normal 8 2 3 10" xfId="8835" xr:uid="{2F0FB8B3-D08B-41EB-93AB-2D83A1BD6036}"/>
    <cellStyle name="Normal 8 2 3 10 2" xfId="18159" xr:uid="{372E1D7E-09CE-47E9-9052-21F8CE17F37E}"/>
    <cellStyle name="Normal 8 2 3 11" xfId="9962" xr:uid="{E879D1D7-B8F2-4D50-9A4D-FFCD32947E9B}"/>
    <cellStyle name="Normal 8 2 3 2" xfId="489" xr:uid="{00000000-0005-0000-0000-0000941C0000}"/>
    <cellStyle name="Normal 8 2 3 2 10" xfId="9963" xr:uid="{14251330-CCC2-4016-9FC7-E9F8C522DA08}"/>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2 2 2" xfId="16739" xr:uid="{3636BA07-011E-4EF8-8EB6-CA6A60A51DD9}"/>
    <cellStyle name="Normal 8 2 3 2 2 2 2 3" xfId="12522" xr:uid="{3E8CB535-9ECB-4BFC-A203-31C25E8C8156}"/>
    <cellStyle name="Normal 8 2 3 2 2 2 3" xfId="5268" xr:uid="{00000000-0005-0000-0000-0000991C0000}"/>
    <cellStyle name="Normal 8 2 3 2 2 2 3 2" xfId="14594" xr:uid="{6A84BA6B-6017-4473-B048-A9802BE2E522}"/>
    <cellStyle name="Normal 8 2 3 2 2 2 4" xfId="9570" xr:uid="{BA9732E0-D9E4-47DB-882D-D871A821FA55}"/>
    <cellStyle name="Normal 8 2 3 2 2 2 4 2" xfId="18885" xr:uid="{A0FBF9D2-7FD9-4406-B989-53A2576EBEFF}"/>
    <cellStyle name="Normal 8 2 3 2 2 2 5" xfId="10377" xr:uid="{245DE7D3-4474-48CC-81D4-963DB2EB40DB}"/>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2 2 2" xfId="17152" xr:uid="{F8BE9B60-A41E-4955-83D6-A6808E50026A}"/>
    <cellStyle name="Normal 8 2 3 2 2 3 2 3" xfId="12935" xr:uid="{C9514BB6-82F1-412C-909C-BDA1561E6759}"/>
    <cellStyle name="Normal 8 2 3 2 2 3 3" xfId="5681" xr:uid="{00000000-0005-0000-0000-00009D1C0000}"/>
    <cellStyle name="Normal 8 2 3 2 2 3 3 2" xfId="15007" xr:uid="{1936518C-94D9-4EAD-9AAA-63C9F20243AD}"/>
    <cellStyle name="Normal 8 2 3 2 2 3 4" xfId="10790" xr:uid="{C09A8DE0-5646-46CD-8E44-FD30119CC9B7}"/>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2 2 2" xfId="17565" xr:uid="{AC38DE24-A133-43D9-97C4-772176E4A3CA}"/>
    <cellStyle name="Normal 8 2 3 2 2 4 2 3" xfId="13348" xr:uid="{704176E6-9E2B-4528-93E5-B677B0286585}"/>
    <cellStyle name="Normal 8 2 3 2 2 4 3" xfId="6094" xr:uid="{00000000-0005-0000-0000-0000A11C0000}"/>
    <cellStyle name="Normal 8 2 3 2 2 4 3 2" xfId="15420" xr:uid="{8E3A87C8-D7A5-4145-B2A3-4C91C0A37AB9}"/>
    <cellStyle name="Normal 8 2 3 2 2 4 4" xfId="11203" xr:uid="{8EC935C8-8368-45FF-80A5-31ADCB75A7E1}"/>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2 2 2" xfId="17978" xr:uid="{0FF890F3-40A6-4381-B6FE-E3923EF4103B}"/>
    <cellStyle name="Normal 8 2 3 2 2 5 2 3" xfId="13761" xr:uid="{23808184-C08A-415B-9384-FB83D4D8701A}"/>
    <cellStyle name="Normal 8 2 3 2 2 5 3" xfId="6507" xr:uid="{00000000-0005-0000-0000-0000A51C0000}"/>
    <cellStyle name="Normal 8 2 3 2 2 5 3 2" xfId="15833" xr:uid="{0C6E8FE9-D62B-49B8-BE9F-082A2C6032D3}"/>
    <cellStyle name="Normal 8 2 3 2 2 5 4" xfId="11616" xr:uid="{9B385EE9-E296-49A3-AB76-4A8546B627A6}"/>
    <cellStyle name="Normal 8 2 3 2 2 6" xfId="2637" xr:uid="{00000000-0005-0000-0000-0000A61C0000}"/>
    <cellStyle name="Normal 8 2 3 2 2 6 2" xfId="6920" xr:uid="{00000000-0005-0000-0000-0000A71C0000}"/>
    <cellStyle name="Normal 8 2 3 2 2 6 2 2" xfId="16246" xr:uid="{3B5B0BC2-7FBA-4F47-98F2-2F026944954A}"/>
    <cellStyle name="Normal 8 2 3 2 2 6 3" xfId="12029" xr:uid="{8784D9EA-1ABC-4403-A35A-19D4AEA745A8}"/>
    <cellStyle name="Normal 8 2 3 2 2 7" xfId="4855" xr:uid="{00000000-0005-0000-0000-0000A81C0000}"/>
    <cellStyle name="Normal 8 2 3 2 2 7 2" xfId="14181" xr:uid="{C7A964FB-F755-405D-AC8D-B148FEF67881}"/>
    <cellStyle name="Normal 8 2 3 2 2 8" xfId="9145" xr:uid="{C71E6005-187D-4837-92B4-619AF06B3A3B}"/>
    <cellStyle name="Normal 8 2 3 2 2 8 2" xfId="18469" xr:uid="{57DB0054-06AD-4D32-B286-779D227288EE}"/>
    <cellStyle name="Normal 8 2 3 2 2 9" xfId="9964" xr:uid="{895BCFF2-2F1F-42F7-BB0F-F058FDDB414B}"/>
    <cellStyle name="Normal 8 2 3 2 3" xfId="956" xr:uid="{00000000-0005-0000-0000-0000A91C0000}"/>
    <cellStyle name="Normal 8 2 3 2 3 2" xfId="3190" xr:uid="{00000000-0005-0000-0000-0000AA1C0000}"/>
    <cellStyle name="Normal 8 2 3 2 3 2 2" xfId="7412" xr:uid="{00000000-0005-0000-0000-0000AB1C0000}"/>
    <cellStyle name="Normal 8 2 3 2 3 2 2 2" xfId="16738" xr:uid="{A111A520-CFEE-42C9-9D95-BD4B395F68D9}"/>
    <cellStyle name="Normal 8 2 3 2 3 2 3" xfId="12521" xr:uid="{0428E26D-37FD-4E4C-BC91-46D12545131A}"/>
    <cellStyle name="Normal 8 2 3 2 3 3" xfId="5267" xr:uid="{00000000-0005-0000-0000-0000AC1C0000}"/>
    <cellStyle name="Normal 8 2 3 2 3 3 2" xfId="14593" xr:uid="{749C04D4-6203-4E1A-BE20-E1634862FF5B}"/>
    <cellStyle name="Normal 8 2 3 2 3 4" xfId="9363" xr:uid="{C94C6C98-A8BC-4AC9-B084-0D2219E89AA8}"/>
    <cellStyle name="Normal 8 2 3 2 3 4 2" xfId="18678" xr:uid="{2876702B-9AE6-4A52-A2BA-BD4B4B53CAFE}"/>
    <cellStyle name="Normal 8 2 3 2 3 5" xfId="10376" xr:uid="{12344382-A917-4A51-AE99-123EF240CD31}"/>
    <cellStyle name="Normal 8 2 3 2 4" xfId="1373" xr:uid="{00000000-0005-0000-0000-0000AD1C0000}"/>
    <cellStyle name="Normal 8 2 3 2 4 2" xfId="3603" xr:uid="{00000000-0005-0000-0000-0000AE1C0000}"/>
    <cellStyle name="Normal 8 2 3 2 4 2 2" xfId="7825" xr:uid="{00000000-0005-0000-0000-0000AF1C0000}"/>
    <cellStyle name="Normal 8 2 3 2 4 2 2 2" xfId="17151" xr:uid="{9FFE1983-8271-4DC5-86E4-749F6FD929B9}"/>
    <cellStyle name="Normal 8 2 3 2 4 2 3" xfId="12934" xr:uid="{A1E9C72F-926D-4BCA-A701-F47115CE9E70}"/>
    <cellStyle name="Normal 8 2 3 2 4 3" xfId="5680" xr:uid="{00000000-0005-0000-0000-0000B01C0000}"/>
    <cellStyle name="Normal 8 2 3 2 4 3 2" xfId="15006" xr:uid="{EFB6F7F4-9DE1-4ACC-BFD0-849A447A0280}"/>
    <cellStyle name="Normal 8 2 3 2 4 4" xfId="10789" xr:uid="{B890625E-BA11-4395-8F88-050BD76A4211}"/>
    <cellStyle name="Normal 8 2 3 2 5" xfId="1786" xr:uid="{00000000-0005-0000-0000-0000B11C0000}"/>
    <cellStyle name="Normal 8 2 3 2 5 2" xfId="4016" xr:uid="{00000000-0005-0000-0000-0000B21C0000}"/>
    <cellStyle name="Normal 8 2 3 2 5 2 2" xfId="8238" xr:uid="{00000000-0005-0000-0000-0000B31C0000}"/>
    <cellStyle name="Normal 8 2 3 2 5 2 2 2" xfId="17564" xr:uid="{F5849F7A-EFC0-4194-90D5-B869A8CBC377}"/>
    <cellStyle name="Normal 8 2 3 2 5 2 3" xfId="13347" xr:uid="{4179058C-C26F-4B13-B182-951299B45407}"/>
    <cellStyle name="Normal 8 2 3 2 5 3" xfId="6093" xr:uid="{00000000-0005-0000-0000-0000B41C0000}"/>
    <cellStyle name="Normal 8 2 3 2 5 3 2" xfId="15419" xr:uid="{1D784C7B-25D6-4D8D-B82C-11D490A61FA6}"/>
    <cellStyle name="Normal 8 2 3 2 5 4" xfId="11202" xr:uid="{F74A0000-701A-4B53-99D1-D5E3B81B727A}"/>
    <cellStyle name="Normal 8 2 3 2 6" xfId="2200" xr:uid="{00000000-0005-0000-0000-0000B51C0000}"/>
    <cellStyle name="Normal 8 2 3 2 6 2" xfId="4429" xr:uid="{00000000-0005-0000-0000-0000B61C0000}"/>
    <cellStyle name="Normal 8 2 3 2 6 2 2" xfId="8651" xr:uid="{00000000-0005-0000-0000-0000B71C0000}"/>
    <cellStyle name="Normal 8 2 3 2 6 2 2 2" xfId="17977" xr:uid="{CE8ECEA7-3D54-464E-A1F2-6D5C4ED1B1AB}"/>
    <cellStyle name="Normal 8 2 3 2 6 2 3" xfId="13760" xr:uid="{D8225DAE-ADA5-407A-AA78-0D61B71E3E1E}"/>
    <cellStyle name="Normal 8 2 3 2 6 3" xfId="6506" xr:uid="{00000000-0005-0000-0000-0000B81C0000}"/>
    <cellStyle name="Normal 8 2 3 2 6 3 2" xfId="15832" xr:uid="{375EE5CF-0AD8-4E9E-8757-931E3285D4BF}"/>
    <cellStyle name="Normal 8 2 3 2 6 4" xfId="11615" xr:uid="{A3DA5191-5AFD-49DC-BBC1-CF587D86E525}"/>
    <cellStyle name="Normal 8 2 3 2 7" xfId="2636" xr:uid="{00000000-0005-0000-0000-0000B91C0000}"/>
    <cellStyle name="Normal 8 2 3 2 7 2" xfId="6919" xr:uid="{00000000-0005-0000-0000-0000BA1C0000}"/>
    <cellStyle name="Normal 8 2 3 2 7 2 2" xfId="16245" xr:uid="{600DF932-7B61-4692-BCCA-F8D42AA7FCD3}"/>
    <cellStyle name="Normal 8 2 3 2 7 3" xfId="12028" xr:uid="{966CE990-88C3-417A-822F-C5906216E979}"/>
    <cellStyle name="Normal 8 2 3 2 8" xfId="4854" xr:uid="{00000000-0005-0000-0000-0000BB1C0000}"/>
    <cellStyle name="Normal 8 2 3 2 8 2" xfId="14180" xr:uid="{389D548F-6F54-4CF9-A84F-32E8394FAB45}"/>
    <cellStyle name="Normal 8 2 3 2 9" xfId="8938" xr:uid="{1EAF77CE-4DC3-40DC-AA9D-31320D478EE9}"/>
    <cellStyle name="Normal 8 2 3 2 9 2" xfId="18262" xr:uid="{A724A639-0A41-41CC-8C20-950F5DE516E5}"/>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2 2 2" xfId="16740" xr:uid="{05A20F0E-6DD3-4AAF-90F7-EF783B3524BF}"/>
    <cellStyle name="Normal 8 2 3 3 2 2 3" xfId="12523" xr:uid="{C9131B98-D127-489A-8953-60AE26114D05}"/>
    <cellStyle name="Normal 8 2 3 3 2 3" xfId="5269" xr:uid="{00000000-0005-0000-0000-0000C01C0000}"/>
    <cellStyle name="Normal 8 2 3 3 2 3 2" xfId="14595" xr:uid="{73CA332C-CEC4-4476-A0C1-EAB601CB05A6}"/>
    <cellStyle name="Normal 8 2 3 3 2 4" xfId="9467" xr:uid="{C16001D7-8508-4511-808F-E990F8EA0FE3}"/>
    <cellStyle name="Normal 8 2 3 3 2 4 2" xfId="18782" xr:uid="{7B41D493-1310-4C08-9599-C0F6C44434E1}"/>
    <cellStyle name="Normal 8 2 3 3 2 5" xfId="10378" xr:uid="{C59995AC-915B-4CE4-BD5D-8DA9154F4F75}"/>
    <cellStyle name="Normal 8 2 3 3 3" xfId="1375" xr:uid="{00000000-0005-0000-0000-0000C11C0000}"/>
    <cellStyle name="Normal 8 2 3 3 3 2" xfId="3605" xr:uid="{00000000-0005-0000-0000-0000C21C0000}"/>
    <cellStyle name="Normal 8 2 3 3 3 2 2" xfId="7827" xr:uid="{00000000-0005-0000-0000-0000C31C0000}"/>
    <cellStyle name="Normal 8 2 3 3 3 2 2 2" xfId="17153" xr:uid="{CEAF54EE-66CB-4D49-A561-64772388A3AF}"/>
    <cellStyle name="Normal 8 2 3 3 3 2 3" xfId="12936" xr:uid="{2F449B34-BBF2-4C83-8F69-E5E7CEEBD4D3}"/>
    <cellStyle name="Normal 8 2 3 3 3 3" xfId="5682" xr:uid="{00000000-0005-0000-0000-0000C41C0000}"/>
    <cellStyle name="Normal 8 2 3 3 3 3 2" xfId="15008" xr:uid="{DE4F8586-4E73-43A5-9D2D-6101AFC1D737}"/>
    <cellStyle name="Normal 8 2 3 3 3 4" xfId="10791" xr:uid="{89B4F040-6784-4062-A074-4A9649FD4565}"/>
    <cellStyle name="Normal 8 2 3 3 4" xfId="1788" xr:uid="{00000000-0005-0000-0000-0000C51C0000}"/>
    <cellStyle name="Normal 8 2 3 3 4 2" xfId="4018" xr:uid="{00000000-0005-0000-0000-0000C61C0000}"/>
    <cellStyle name="Normal 8 2 3 3 4 2 2" xfId="8240" xr:uid="{00000000-0005-0000-0000-0000C71C0000}"/>
    <cellStyle name="Normal 8 2 3 3 4 2 2 2" xfId="17566" xr:uid="{4E213EA6-8878-46F6-9DD4-64279B339B52}"/>
    <cellStyle name="Normal 8 2 3 3 4 2 3" xfId="13349" xr:uid="{64AB1241-FF0F-4EFD-AC9A-A38C9C9258DC}"/>
    <cellStyle name="Normal 8 2 3 3 4 3" xfId="6095" xr:uid="{00000000-0005-0000-0000-0000C81C0000}"/>
    <cellStyle name="Normal 8 2 3 3 4 3 2" xfId="15421" xr:uid="{D828482F-5308-4A1F-B3D7-4EDAA01DAB2B}"/>
    <cellStyle name="Normal 8 2 3 3 4 4" xfId="11204" xr:uid="{72608E55-92C3-4E15-AD88-4D8108821939}"/>
    <cellStyle name="Normal 8 2 3 3 5" xfId="2202" xr:uid="{00000000-0005-0000-0000-0000C91C0000}"/>
    <cellStyle name="Normal 8 2 3 3 5 2" xfId="4431" xr:uid="{00000000-0005-0000-0000-0000CA1C0000}"/>
    <cellStyle name="Normal 8 2 3 3 5 2 2" xfId="8653" xr:uid="{00000000-0005-0000-0000-0000CB1C0000}"/>
    <cellStyle name="Normal 8 2 3 3 5 2 2 2" xfId="17979" xr:uid="{C07E0751-9782-40B8-B782-2FD27C669DAC}"/>
    <cellStyle name="Normal 8 2 3 3 5 2 3" xfId="13762" xr:uid="{9286B839-7C99-4BF2-A3F6-AAA36DC69814}"/>
    <cellStyle name="Normal 8 2 3 3 5 3" xfId="6508" xr:uid="{00000000-0005-0000-0000-0000CC1C0000}"/>
    <cellStyle name="Normal 8 2 3 3 5 3 2" xfId="15834" xr:uid="{4D13D063-97E0-4BE3-9CE2-C6B71700BDF2}"/>
    <cellStyle name="Normal 8 2 3 3 5 4" xfId="11617" xr:uid="{30BD67F4-BBF0-4B3D-AF6B-173A76D91FEE}"/>
    <cellStyle name="Normal 8 2 3 3 6" xfId="2638" xr:uid="{00000000-0005-0000-0000-0000CD1C0000}"/>
    <cellStyle name="Normal 8 2 3 3 6 2" xfId="6921" xr:uid="{00000000-0005-0000-0000-0000CE1C0000}"/>
    <cellStyle name="Normal 8 2 3 3 6 2 2" xfId="16247" xr:uid="{BCFC2F6A-B5BD-45A1-9E2F-B351CDEB0695}"/>
    <cellStyle name="Normal 8 2 3 3 6 3" xfId="12030" xr:uid="{86419C89-C58C-4487-8407-ACED299AC621}"/>
    <cellStyle name="Normal 8 2 3 3 7" xfId="4856" xr:uid="{00000000-0005-0000-0000-0000CF1C0000}"/>
    <cellStyle name="Normal 8 2 3 3 7 2" xfId="14182" xr:uid="{E48F30A9-E4D6-404B-9416-7456020CC787}"/>
    <cellStyle name="Normal 8 2 3 3 8" xfId="9042" xr:uid="{D820ED39-BAB1-48C1-A68D-2017E247E432}"/>
    <cellStyle name="Normal 8 2 3 3 8 2" xfId="18366" xr:uid="{5ADA0F95-E67D-43B3-8F6D-522A4B9BE7B0}"/>
    <cellStyle name="Normal 8 2 3 3 9" xfId="9965" xr:uid="{F25C883E-190B-4087-8C3E-DBFB613BF209}"/>
    <cellStyle name="Normal 8 2 3 4" xfId="955" xr:uid="{00000000-0005-0000-0000-0000D01C0000}"/>
    <cellStyle name="Normal 8 2 3 4 2" xfId="3189" xr:uid="{00000000-0005-0000-0000-0000D11C0000}"/>
    <cellStyle name="Normal 8 2 3 4 2 2" xfId="7411" xr:uid="{00000000-0005-0000-0000-0000D21C0000}"/>
    <cellStyle name="Normal 8 2 3 4 2 2 2" xfId="16737" xr:uid="{2082BF9D-6D68-445E-9F95-DD786AAEA28A}"/>
    <cellStyle name="Normal 8 2 3 4 2 3" xfId="12520" xr:uid="{FD7470EB-F43D-4701-859E-F2409ACD52EE}"/>
    <cellStyle name="Normal 8 2 3 4 3" xfId="5266" xr:uid="{00000000-0005-0000-0000-0000D31C0000}"/>
    <cellStyle name="Normal 8 2 3 4 3 2" xfId="14592" xr:uid="{816660F8-94BB-42E0-81FC-D3A75B5830A1}"/>
    <cellStyle name="Normal 8 2 3 4 4" xfId="9260" xr:uid="{70FF5A16-C89A-42B7-A603-E23A7C2F443C}"/>
    <cellStyle name="Normal 8 2 3 4 4 2" xfId="18575" xr:uid="{61FF067C-F5E0-4E0E-9EAE-DF04BF9F32BA}"/>
    <cellStyle name="Normal 8 2 3 4 5" xfId="10375" xr:uid="{59D6007B-8B34-4276-B772-1264B930EA96}"/>
    <cellStyle name="Normal 8 2 3 5" xfId="1372" xr:uid="{00000000-0005-0000-0000-0000D41C0000}"/>
    <cellStyle name="Normal 8 2 3 5 2" xfId="3602" xr:uid="{00000000-0005-0000-0000-0000D51C0000}"/>
    <cellStyle name="Normal 8 2 3 5 2 2" xfId="7824" xr:uid="{00000000-0005-0000-0000-0000D61C0000}"/>
    <cellStyle name="Normal 8 2 3 5 2 2 2" xfId="17150" xr:uid="{7405818D-326E-485C-9AFD-A8995885E2AD}"/>
    <cellStyle name="Normal 8 2 3 5 2 3" xfId="12933" xr:uid="{DBED404E-86C4-4136-808B-DA90ECC06E5D}"/>
    <cellStyle name="Normal 8 2 3 5 3" xfId="5679" xr:uid="{00000000-0005-0000-0000-0000D71C0000}"/>
    <cellStyle name="Normal 8 2 3 5 3 2" xfId="15005" xr:uid="{65FD3E3B-7C93-4189-88AE-6C1A5E32FDC7}"/>
    <cellStyle name="Normal 8 2 3 5 4" xfId="10788" xr:uid="{7D648612-7590-4AAB-99F3-54ED5150E538}"/>
    <cellStyle name="Normal 8 2 3 6" xfId="1785" xr:uid="{00000000-0005-0000-0000-0000D81C0000}"/>
    <cellStyle name="Normal 8 2 3 6 2" xfId="4015" xr:uid="{00000000-0005-0000-0000-0000D91C0000}"/>
    <cellStyle name="Normal 8 2 3 6 2 2" xfId="8237" xr:uid="{00000000-0005-0000-0000-0000DA1C0000}"/>
    <cellStyle name="Normal 8 2 3 6 2 2 2" xfId="17563" xr:uid="{B4977560-5A33-493E-A0F3-F402BA4096B4}"/>
    <cellStyle name="Normal 8 2 3 6 2 3" xfId="13346" xr:uid="{86114B1F-5491-41EA-B4FB-F16DF4BF2970}"/>
    <cellStyle name="Normal 8 2 3 6 3" xfId="6092" xr:uid="{00000000-0005-0000-0000-0000DB1C0000}"/>
    <cellStyle name="Normal 8 2 3 6 3 2" xfId="15418" xr:uid="{37D1C01A-44C3-4494-9293-ACF4E205CDE6}"/>
    <cellStyle name="Normal 8 2 3 6 4" xfId="11201" xr:uid="{1B80AA7B-CC0E-43F5-8357-987DE6886C23}"/>
    <cellStyle name="Normal 8 2 3 7" xfId="2199" xr:uid="{00000000-0005-0000-0000-0000DC1C0000}"/>
    <cellStyle name="Normal 8 2 3 7 2" xfId="4428" xr:uid="{00000000-0005-0000-0000-0000DD1C0000}"/>
    <cellStyle name="Normal 8 2 3 7 2 2" xfId="8650" xr:uid="{00000000-0005-0000-0000-0000DE1C0000}"/>
    <cellStyle name="Normal 8 2 3 7 2 2 2" xfId="17976" xr:uid="{10C68728-5655-444A-9A68-5D9E9F095D61}"/>
    <cellStyle name="Normal 8 2 3 7 2 3" xfId="13759" xr:uid="{8C37718C-210F-4532-977F-32333A86F9DF}"/>
    <cellStyle name="Normal 8 2 3 7 3" xfId="6505" xr:uid="{00000000-0005-0000-0000-0000DF1C0000}"/>
    <cellStyle name="Normal 8 2 3 7 3 2" xfId="15831" xr:uid="{8851A85F-507F-40EA-836E-74183385E82E}"/>
    <cellStyle name="Normal 8 2 3 7 4" xfId="11614" xr:uid="{828BB9D0-B9EA-470C-8C70-56E8E168B1A6}"/>
    <cellStyle name="Normal 8 2 3 8" xfId="2635" xr:uid="{00000000-0005-0000-0000-0000E01C0000}"/>
    <cellStyle name="Normal 8 2 3 8 2" xfId="6918" xr:uid="{00000000-0005-0000-0000-0000E11C0000}"/>
    <cellStyle name="Normal 8 2 3 8 2 2" xfId="16244" xr:uid="{D583E172-9C7F-4209-ADB9-2554A9170F15}"/>
    <cellStyle name="Normal 8 2 3 8 3" xfId="12027" xr:uid="{328BB0E9-A6D6-4769-A7E9-E8E9D96F6775}"/>
    <cellStyle name="Normal 8 2 3 9" xfId="4853" xr:uid="{00000000-0005-0000-0000-0000E21C0000}"/>
    <cellStyle name="Normal 8 2 3 9 2" xfId="14179" xr:uid="{7CD58784-72CE-46AE-A5CE-6E8945BF7134}"/>
    <cellStyle name="Normal 8 2 4" xfId="492" xr:uid="{00000000-0005-0000-0000-0000E31C0000}"/>
    <cellStyle name="Normal 8 2 4 10" xfId="9966" xr:uid="{00735DED-BA5A-42C2-88EC-951FA64064D2}"/>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2 2 2" xfId="16742" xr:uid="{6BAC590C-5E9D-41FC-B5AB-EF03BFDAC593}"/>
    <cellStyle name="Normal 8 2 4 2 2 2 3" xfId="12525" xr:uid="{3233A4B8-A729-4DE4-9BCC-2B8F455CC8EC}"/>
    <cellStyle name="Normal 8 2 4 2 2 3" xfId="5271" xr:uid="{00000000-0005-0000-0000-0000E81C0000}"/>
    <cellStyle name="Normal 8 2 4 2 2 3 2" xfId="14597" xr:uid="{56DCBD0B-CCE3-4FAA-AE9E-D4AAAFE79F3C}"/>
    <cellStyle name="Normal 8 2 4 2 2 4" xfId="9486" xr:uid="{9F6EBE4C-F02F-43A6-A388-D5EACB1B3099}"/>
    <cellStyle name="Normal 8 2 4 2 2 4 2" xfId="18801" xr:uid="{20B8909D-E0FF-49B7-A422-7DDEDC0781D3}"/>
    <cellStyle name="Normal 8 2 4 2 2 5" xfId="10380" xr:uid="{A9ABA835-322A-4018-9717-31AE9A196222}"/>
    <cellStyle name="Normal 8 2 4 2 3" xfId="1377" xr:uid="{00000000-0005-0000-0000-0000E91C0000}"/>
    <cellStyle name="Normal 8 2 4 2 3 2" xfId="3607" xr:uid="{00000000-0005-0000-0000-0000EA1C0000}"/>
    <cellStyle name="Normal 8 2 4 2 3 2 2" xfId="7829" xr:uid="{00000000-0005-0000-0000-0000EB1C0000}"/>
    <cellStyle name="Normal 8 2 4 2 3 2 2 2" xfId="17155" xr:uid="{42F25B9A-A98D-495B-BF57-BD734FCC13FA}"/>
    <cellStyle name="Normal 8 2 4 2 3 2 3" xfId="12938" xr:uid="{5E3BA59D-8066-4F74-89EA-FF5E617D4206}"/>
    <cellStyle name="Normal 8 2 4 2 3 3" xfId="5684" xr:uid="{00000000-0005-0000-0000-0000EC1C0000}"/>
    <cellStyle name="Normal 8 2 4 2 3 3 2" xfId="15010" xr:uid="{DCE81961-2CB5-46A0-9FBC-56F5BDF96F29}"/>
    <cellStyle name="Normal 8 2 4 2 3 4" xfId="10793" xr:uid="{E1E8C221-EF64-4749-9B1C-0C890156B9F4}"/>
    <cellStyle name="Normal 8 2 4 2 4" xfId="1790" xr:uid="{00000000-0005-0000-0000-0000ED1C0000}"/>
    <cellStyle name="Normal 8 2 4 2 4 2" xfId="4020" xr:uid="{00000000-0005-0000-0000-0000EE1C0000}"/>
    <cellStyle name="Normal 8 2 4 2 4 2 2" xfId="8242" xr:uid="{00000000-0005-0000-0000-0000EF1C0000}"/>
    <cellStyle name="Normal 8 2 4 2 4 2 2 2" xfId="17568" xr:uid="{E023AF29-3BEE-4BB6-ABFF-FF5770831F67}"/>
    <cellStyle name="Normal 8 2 4 2 4 2 3" xfId="13351" xr:uid="{FEFAF487-8D62-4329-B1B9-A6716BFC70CF}"/>
    <cellStyle name="Normal 8 2 4 2 4 3" xfId="6097" xr:uid="{00000000-0005-0000-0000-0000F01C0000}"/>
    <cellStyle name="Normal 8 2 4 2 4 3 2" xfId="15423" xr:uid="{C6FA2E9C-7172-4F69-A35C-6219CC7F7774}"/>
    <cellStyle name="Normal 8 2 4 2 4 4" xfId="11206" xr:uid="{B330BF83-AE3F-4B36-963E-C0A1B1157B26}"/>
    <cellStyle name="Normal 8 2 4 2 5" xfId="2204" xr:uid="{00000000-0005-0000-0000-0000F11C0000}"/>
    <cellStyle name="Normal 8 2 4 2 5 2" xfId="4433" xr:uid="{00000000-0005-0000-0000-0000F21C0000}"/>
    <cellStyle name="Normal 8 2 4 2 5 2 2" xfId="8655" xr:uid="{00000000-0005-0000-0000-0000F31C0000}"/>
    <cellStyle name="Normal 8 2 4 2 5 2 2 2" xfId="17981" xr:uid="{EDCA7B6E-6556-4C5E-9346-B0D85135A6C4}"/>
    <cellStyle name="Normal 8 2 4 2 5 2 3" xfId="13764" xr:uid="{2EF51A23-053E-4EE4-9BF5-DFAAB6BEBB98}"/>
    <cellStyle name="Normal 8 2 4 2 5 3" xfId="6510" xr:uid="{00000000-0005-0000-0000-0000F41C0000}"/>
    <cellStyle name="Normal 8 2 4 2 5 3 2" xfId="15836" xr:uid="{3DB0AFDA-479F-490F-9D50-8A1A55B50C1C}"/>
    <cellStyle name="Normal 8 2 4 2 5 4" xfId="11619" xr:uid="{60F7F614-CE46-40AF-A82F-968A0A87B80B}"/>
    <cellStyle name="Normal 8 2 4 2 6" xfId="2640" xr:uid="{00000000-0005-0000-0000-0000F51C0000}"/>
    <cellStyle name="Normal 8 2 4 2 6 2" xfId="6923" xr:uid="{00000000-0005-0000-0000-0000F61C0000}"/>
    <cellStyle name="Normal 8 2 4 2 6 2 2" xfId="16249" xr:uid="{E5E204AE-8546-43B7-BF9D-F9B56465E6EE}"/>
    <cellStyle name="Normal 8 2 4 2 6 3" xfId="12032" xr:uid="{B72BFFFE-6EC3-4CAF-A409-88BB19CE3E8F}"/>
    <cellStyle name="Normal 8 2 4 2 7" xfId="4858" xr:uid="{00000000-0005-0000-0000-0000F71C0000}"/>
    <cellStyle name="Normal 8 2 4 2 7 2" xfId="14184" xr:uid="{8AF5AE86-2976-46C8-A9C1-50B18BE39B49}"/>
    <cellStyle name="Normal 8 2 4 2 8" xfId="9061" xr:uid="{7295DB82-9441-436C-AA3E-91B68F6E59B3}"/>
    <cellStyle name="Normal 8 2 4 2 8 2" xfId="18385" xr:uid="{8B8B29FD-41E0-4655-B99E-033B4D274BDD}"/>
    <cellStyle name="Normal 8 2 4 2 9" xfId="9967" xr:uid="{86D5E958-88DF-4D7D-8132-D70170FA11B8}"/>
    <cellStyle name="Normal 8 2 4 3" xfId="959" xr:uid="{00000000-0005-0000-0000-0000F81C0000}"/>
    <cellStyle name="Normal 8 2 4 3 2" xfId="3193" xr:uid="{00000000-0005-0000-0000-0000F91C0000}"/>
    <cellStyle name="Normal 8 2 4 3 2 2" xfId="7415" xr:uid="{00000000-0005-0000-0000-0000FA1C0000}"/>
    <cellStyle name="Normal 8 2 4 3 2 2 2" xfId="16741" xr:uid="{51CF6BAA-3969-45C0-8627-8D88448E90B4}"/>
    <cellStyle name="Normal 8 2 4 3 2 3" xfId="12524" xr:uid="{F5B35B82-2D22-413F-8A78-4C5D60D58ACF}"/>
    <cellStyle name="Normal 8 2 4 3 3" xfId="5270" xr:uid="{00000000-0005-0000-0000-0000FB1C0000}"/>
    <cellStyle name="Normal 8 2 4 3 3 2" xfId="14596" xr:uid="{35D14497-4108-4DA7-8230-83920A9D235E}"/>
    <cellStyle name="Normal 8 2 4 3 4" xfId="9279" xr:uid="{BA09D30D-BEBA-4223-83E6-57FB46A1EFA8}"/>
    <cellStyle name="Normal 8 2 4 3 4 2" xfId="18594" xr:uid="{E44E30C5-63A0-482C-AFF6-F9093279FACC}"/>
    <cellStyle name="Normal 8 2 4 3 5" xfId="10379" xr:uid="{06BD6709-A1E7-471F-A61F-F3740694A564}"/>
    <cellStyle name="Normal 8 2 4 4" xfId="1376" xr:uid="{00000000-0005-0000-0000-0000FC1C0000}"/>
    <cellStyle name="Normal 8 2 4 4 2" xfId="3606" xr:uid="{00000000-0005-0000-0000-0000FD1C0000}"/>
    <cellStyle name="Normal 8 2 4 4 2 2" xfId="7828" xr:uid="{00000000-0005-0000-0000-0000FE1C0000}"/>
    <cellStyle name="Normal 8 2 4 4 2 2 2" xfId="17154" xr:uid="{D90CB912-E715-481E-9196-BB07BAE5E2A7}"/>
    <cellStyle name="Normal 8 2 4 4 2 3" xfId="12937" xr:uid="{630D844C-6A5C-49AB-94B8-4604269A41BF}"/>
    <cellStyle name="Normal 8 2 4 4 3" xfId="5683" xr:uid="{00000000-0005-0000-0000-0000FF1C0000}"/>
    <cellStyle name="Normal 8 2 4 4 3 2" xfId="15009" xr:uid="{7146E6E6-4746-430A-B233-3B5C1F8D3E8D}"/>
    <cellStyle name="Normal 8 2 4 4 4" xfId="10792" xr:uid="{373CBA28-473D-4D0E-AAA7-ED4E3C3ACD7B}"/>
    <cellStyle name="Normal 8 2 4 5" xfId="1789" xr:uid="{00000000-0005-0000-0000-0000001D0000}"/>
    <cellStyle name="Normal 8 2 4 5 2" xfId="4019" xr:uid="{00000000-0005-0000-0000-0000011D0000}"/>
    <cellStyle name="Normal 8 2 4 5 2 2" xfId="8241" xr:uid="{00000000-0005-0000-0000-0000021D0000}"/>
    <cellStyle name="Normal 8 2 4 5 2 2 2" xfId="17567" xr:uid="{4CC141B5-3D20-43A2-A52E-540080FDF0A8}"/>
    <cellStyle name="Normal 8 2 4 5 2 3" xfId="13350" xr:uid="{1AA6C731-DB2D-4B6A-9CBE-3A98BA62DFFC}"/>
    <cellStyle name="Normal 8 2 4 5 3" xfId="6096" xr:uid="{00000000-0005-0000-0000-0000031D0000}"/>
    <cellStyle name="Normal 8 2 4 5 3 2" xfId="15422" xr:uid="{F2D8D6CF-9814-4486-A41D-00140A784974}"/>
    <cellStyle name="Normal 8 2 4 5 4" xfId="11205" xr:uid="{1AC7C63F-6055-4D78-B77F-D0F37507D00A}"/>
    <cellStyle name="Normal 8 2 4 6" xfId="2203" xr:uid="{00000000-0005-0000-0000-0000041D0000}"/>
    <cellStyle name="Normal 8 2 4 6 2" xfId="4432" xr:uid="{00000000-0005-0000-0000-0000051D0000}"/>
    <cellStyle name="Normal 8 2 4 6 2 2" xfId="8654" xr:uid="{00000000-0005-0000-0000-0000061D0000}"/>
    <cellStyle name="Normal 8 2 4 6 2 2 2" xfId="17980" xr:uid="{11C9EDE1-04EE-4174-B378-6E8594D7AE43}"/>
    <cellStyle name="Normal 8 2 4 6 2 3" xfId="13763" xr:uid="{E4888478-7259-438D-83BE-8F1C539224D1}"/>
    <cellStyle name="Normal 8 2 4 6 3" xfId="6509" xr:uid="{00000000-0005-0000-0000-0000071D0000}"/>
    <cellStyle name="Normal 8 2 4 6 3 2" xfId="15835" xr:uid="{2A2E0F8E-731F-4C66-8397-727DBC03ACFE}"/>
    <cellStyle name="Normal 8 2 4 6 4" xfId="11618" xr:uid="{414AAA5F-1F11-4AEA-BAF8-F74352A99682}"/>
    <cellStyle name="Normal 8 2 4 7" xfId="2639" xr:uid="{00000000-0005-0000-0000-0000081D0000}"/>
    <cellStyle name="Normal 8 2 4 7 2" xfId="6922" xr:uid="{00000000-0005-0000-0000-0000091D0000}"/>
    <cellStyle name="Normal 8 2 4 7 2 2" xfId="16248" xr:uid="{9BDE9326-FA7D-4316-8256-46D40227170F}"/>
    <cellStyle name="Normal 8 2 4 7 3" xfId="12031" xr:uid="{4AED1A99-5AF2-421A-9AF5-EA182B41FFBF}"/>
    <cellStyle name="Normal 8 2 4 8" xfId="4857" xr:uid="{00000000-0005-0000-0000-00000A1D0000}"/>
    <cellStyle name="Normal 8 2 4 8 2" xfId="14183" xr:uid="{39FC6E2F-098F-43AC-ACE0-22906420717C}"/>
    <cellStyle name="Normal 8 2 4 9" xfId="8854" xr:uid="{F1F9C500-F3E2-475A-983E-BD697F4BACD1}"/>
    <cellStyle name="Normal 8 2 4 9 2" xfId="18178" xr:uid="{69AFCA1F-E9B0-4AEF-93AD-F416915D8E8E}"/>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2 2 2" xfId="16743" xr:uid="{C682F686-98E5-4EF2-A677-D4389D1136BB}"/>
    <cellStyle name="Normal 8 2 5 2 2 3" xfId="12526" xr:uid="{6D0ACA24-2300-4264-99E5-4FCB76E058BB}"/>
    <cellStyle name="Normal 8 2 5 2 3" xfId="5272" xr:uid="{00000000-0005-0000-0000-00000F1D0000}"/>
    <cellStyle name="Normal 8 2 5 2 3 2" xfId="14598" xr:uid="{A8CFF011-769E-476B-A2A6-688F4A806191}"/>
    <cellStyle name="Normal 8 2 5 2 4" xfId="9395" xr:uid="{D5766EF3-6042-484F-B510-7448518CF571}"/>
    <cellStyle name="Normal 8 2 5 2 4 2" xfId="18710" xr:uid="{C58A87EF-191B-4959-A783-3A3FD28FF316}"/>
    <cellStyle name="Normal 8 2 5 2 5" xfId="10381" xr:uid="{08B64540-ADC7-40B6-B438-D9E8C3281700}"/>
    <cellStyle name="Normal 8 2 5 3" xfId="1378" xr:uid="{00000000-0005-0000-0000-0000101D0000}"/>
    <cellStyle name="Normal 8 2 5 3 2" xfId="3608" xr:uid="{00000000-0005-0000-0000-0000111D0000}"/>
    <cellStyle name="Normal 8 2 5 3 2 2" xfId="7830" xr:uid="{00000000-0005-0000-0000-0000121D0000}"/>
    <cellStyle name="Normal 8 2 5 3 2 2 2" xfId="17156" xr:uid="{AAC7EF8C-1779-4FAA-96F4-AC41CF4BBAF7}"/>
    <cellStyle name="Normal 8 2 5 3 2 3" xfId="12939" xr:uid="{A35949C0-4B03-45A1-B50E-724682CE5BC4}"/>
    <cellStyle name="Normal 8 2 5 3 3" xfId="5685" xr:uid="{00000000-0005-0000-0000-0000131D0000}"/>
    <cellStyle name="Normal 8 2 5 3 3 2" xfId="15011" xr:uid="{8C82B3FA-A697-4EF4-903D-CA18BAA31932}"/>
    <cellStyle name="Normal 8 2 5 3 4" xfId="10794" xr:uid="{4B4D348A-E0D1-4E9A-916F-27573E8F4D50}"/>
    <cellStyle name="Normal 8 2 5 4" xfId="1791" xr:uid="{00000000-0005-0000-0000-0000141D0000}"/>
    <cellStyle name="Normal 8 2 5 4 2" xfId="4021" xr:uid="{00000000-0005-0000-0000-0000151D0000}"/>
    <cellStyle name="Normal 8 2 5 4 2 2" xfId="8243" xr:uid="{00000000-0005-0000-0000-0000161D0000}"/>
    <cellStyle name="Normal 8 2 5 4 2 2 2" xfId="17569" xr:uid="{514501F2-4B6E-4E45-981A-3EF1E680DEE1}"/>
    <cellStyle name="Normal 8 2 5 4 2 3" xfId="13352" xr:uid="{A6AA6A59-5BB7-4555-A3B9-8C7010127326}"/>
    <cellStyle name="Normal 8 2 5 4 3" xfId="6098" xr:uid="{00000000-0005-0000-0000-0000171D0000}"/>
    <cellStyle name="Normal 8 2 5 4 3 2" xfId="15424" xr:uid="{A8A7E8D3-2991-457E-B960-0140AB0AC8E9}"/>
    <cellStyle name="Normal 8 2 5 4 4" xfId="11207" xr:uid="{772B4027-2B69-44A1-A741-178FAEC02A0A}"/>
    <cellStyle name="Normal 8 2 5 5" xfId="2205" xr:uid="{00000000-0005-0000-0000-0000181D0000}"/>
    <cellStyle name="Normal 8 2 5 5 2" xfId="4434" xr:uid="{00000000-0005-0000-0000-0000191D0000}"/>
    <cellStyle name="Normal 8 2 5 5 2 2" xfId="8656" xr:uid="{00000000-0005-0000-0000-00001A1D0000}"/>
    <cellStyle name="Normal 8 2 5 5 2 2 2" xfId="17982" xr:uid="{E4CDF210-6F96-4DBE-8A3E-9FB8E4BF7173}"/>
    <cellStyle name="Normal 8 2 5 5 2 3" xfId="13765" xr:uid="{7D613FF6-4F6D-4BD1-9104-5624507CA94C}"/>
    <cellStyle name="Normal 8 2 5 5 3" xfId="6511" xr:uid="{00000000-0005-0000-0000-00001B1D0000}"/>
    <cellStyle name="Normal 8 2 5 5 3 2" xfId="15837" xr:uid="{EF2BD4D1-1E44-4E3F-868B-2ECDA0AFD23F}"/>
    <cellStyle name="Normal 8 2 5 5 4" xfId="11620" xr:uid="{9F0CB815-533B-4412-A5CD-B7C81F6AD0E3}"/>
    <cellStyle name="Normal 8 2 5 6" xfId="2641" xr:uid="{00000000-0005-0000-0000-00001C1D0000}"/>
    <cellStyle name="Normal 8 2 5 6 2" xfId="6924" xr:uid="{00000000-0005-0000-0000-00001D1D0000}"/>
    <cellStyle name="Normal 8 2 5 6 2 2" xfId="16250" xr:uid="{ED85EAD5-628D-4852-89D9-7942CC80D61F}"/>
    <cellStyle name="Normal 8 2 5 6 3" xfId="12033" xr:uid="{B0B2E533-8C13-4FEA-90BA-CC45E96944AD}"/>
    <cellStyle name="Normal 8 2 5 7" xfId="4859" xr:uid="{00000000-0005-0000-0000-00001E1D0000}"/>
    <cellStyle name="Normal 8 2 5 7 2" xfId="14185" xr:uid="{D301F6CB-82E0-4B79-8C07-91136F94E7EC}"/>
    <cellStyle name="Normal 8 2 5 8" xfId="8970" xr:uid="{7E9ACEFF-1680-45D8-BC32-8CA9BA1D63D4}"/>
    <cellStyle name="Normal 8 2 5 8 2" xfId="18294" xr:uid="{76EA1FA3-C581-4EFF-BB19-7E5B8B1649E7}"/>
    <cellStyle name="Normal 8 2 5 9" xfId="9968" xr:uid="{A2C03226-9FF8-48B6-B43F-D63C047B5E25}"/>
    <cellStyle name="Normal 8 2 6" xfId="946" xr:uid="{00000000-0005-0000-0000-00001F1D0000}"/>
    <cellStyle name="Normal 8 2 6 2" xfId="3180" xr:uid="{00000000-0005-0000-0000-0000201D0000}"/>
    <cellStyle name="Normal 8 2 6 2 2" xfId="7402" xr:uid="{00000000-0005-0000-0000-0000211D0000}"/>
    <cellStyle name="Normal 8 2 6 2 2 2" xfId="16728" xr:uid="{615D3B73-8EDF-4E60-BC00-72992FF72BEA}"/>
    <cellStyle name="Normal 8 2 6 2 3" xfId="12511" xr:uid="{4242DEB5-F624-42E2-AB8E-836653E8AAC2}"/>
    <cellStyle name="Normal 8 2 6 3" xfId="5257" xr:uid="{00000000-0005-0000-0000-0000221D0000}"/>
    <cellStyle name="Normal 8 2 6 3 2" xfId="14583" xr:uid="{C1930901-E545-4C32-BED9-F6AC5DF2DDE6}"/>
    <cellStyle name="Normal 8 2 6 4" xfId="9173" xr:uid="{C36295B3-E6F0-4A6D-AEE5-72C8177C13EE}"/>
    <cellStyle name="Normal 8 2 6 4 2" xfId="18491" xr:uid="{ABA29CFC-A67C-4741-9A95-01758A7DA3B9}"/>
    <cellStyle name="Normal 8 2 6 5" xfId="10366" xr:uid="{8C7A9047-DBE5-40D2-9430-AD1D369A9742}"/>
    <cellStyle name="Normal 8 2 7" xfId="1363" xr:uid="{00000000-0005-0000-0000-0000231D0000}"/>
    <cellStyle name="Normal 8 2 7 2" xfId="3593" xr:uid="{00000000-0005-0000-0000-0000241D0000}"/>
    <cellStyle name="Normal 8 2 7 2 2" xfId="7815" xr:uid="{00000000-0005-0000-0000-0000251D0000}"/>
    <cellStyle name="Normal 8 2 7 2 2 2" xfId="17141" xr:uid="{4B35BAA6-3589-4B30-AC8A-1362E66F8002}"/>
    <cellStyle name="Normal 8 2 7 2 3" xfId="12924" xr:uid="{8452A54F-BEA9-46BB-A528-458AD2386A97}"/>
    <cellStyle name="Normal 8 2 7 3" xfId="5670" xr:uid="{00000000-0005-0000-0000-0000261D0000}"/>
    <cellStyle name="Normal 8 2 7 3 2" xfId="14996" xr:uid="{A70A6E01-8010-4D1D-BEEC-0D344E2918C5}"/>
    <cellStyle name="Normal 8 2 7 4" xfId="10779" xr:uid="{B61EDB9C-4EB7-4059-81F2-1577EC546592}"/>
    <cellStyle name="Normal 8 2 8" xfId="1776" xr:uid="{00000000-0005-0000-0000-0000271D0000}"/>
    <cellStyle name="Normal 8 2 8 2" xfId="4006" xr:uid="{00000000-0005-0000-0000-0000281D0000}"/>
    <cellStyle name="Normal 8 2 8 2 2" xfId="8228" xr:uid="{00000000-0005-0000-0000-0000291D0000}"/>
    <cellStyle name="Normal 8 2 8 2 2 2" xfId="17554" xr:uid="{014183AB-0382-455D-97E8-5046B72F49BE}"/>
    <cellStyle name="Normal 8 2 8 2 3" xfId="13337" xr:uid="{FE08E106-A744-4263-BD18-EFD8F6A70207}"/>
    <cellStyle name="Normal 8 2 8 3" xfId="6083" xr:uid="{00000000-0005-0000-0000-00002A1D0000}"/>
    <cellStyle name="Normal 8 2 8 3 2" xfId="15409" xr:uid="{20EEE258-40AE-4D46-AC7E-D994AA4243A7}"/>
    <cellStyle name="Normal 8 2 8 4" xfId="11192" xr:uid="{792AF546-7BBA-4582-8EE4-95C1F6DE6791}"/>
    <cellStyle name="Normal 8 2 9" xfId="2190" xr:uid="{00000000-0005-0000-0000-00002B1D0000}"/>
    <cellStyle name="Normal 8 2 9 2" xfId="4419" xr:uid="{00000000-0005-0000-0000-00002C1D0000}"/>
    <cellStyle name="Normal 8 2 9 2 2" xfId="8641" xr:uid="{00000000-0005-0000-0000-00002D1D0000}"/>
    <cellStyle name="Normal 8 2 9 2 2 2" xfId="17967" xr:uid="{50E4EB73-74A3-45E5-ADDC-4D9633586488}"/>
    <cellStyle name="Normal 8 2 9 2 3" xfId="13750" xr:uid="{59C08887-D402-420B-8072-E1093FC6CE5C}"/>
    <cellStyle name="Normal 8 2 9 3" xfId="6496" xr:uid="{00000000-0005-0000-0000-00002E1D0000}"/>
    <cellStyle name="Normal 8 2 9 3 2" xfId="15822" xr:uid="{775C91A1-7254-4800-9414-1465CA5B357F}"/>
    <cellStyle name="Normal 8 2 9 4" xfId="11605" xr:uid="{A42E0FB8-B406-4E18-A2C1-FACBF2961C36}"/>
    <cellStyle name="Normal 8 3" xfId="495" xr:uid="{00000000-0005-0000-0000-00002F1D0000}"/>
    <cellStyle name="Normal 8 3 10" xfId="4860" xr:uid="{00000000-0005-0000-0000-0000301D0000}"/>
    <cellStyle name="Normal 8 3 10 2" xfId="14186" xr:uid="{F92C4559-7D19-4F29-9F67-F60247935B93}"/>
    <cellStyle name="Normal 8 3 11" xfId="8774" xr:uid="{81BDDADD-940D-4F3A-BD6C-7E4719C8A3D2}"/>
    <cellStyle name="Normal 8 3 11 2" xfId="18098" xr:uid="{4690795E-E528-43CB-89BA-FB08F0A988DF}"/>
    <cellStyle name="Normal 8 3 12" xfId="9969" xr:uid="{A4FA65F1-23AF-4B05-BBE2-55F77DD26135}"/>
    <cellStyle name="Normal 8 3 2" xfId="496" xr:uid="{00000000-0005-0000-0000-0000311D0000}"/>
    <cellStyle name="Normal 8 3 2 10" xfId="8837" xr:uid="{392842AA-84B1-4A71-AE94-A1B631487B7E}"/>
    <cellStyle name="Normal 8 3 2 10 2" xfId="18161" xr:uid="{D1F6976B-9BD5-48C1-B7E3-17670C0065CB}"/>
    <cellStyle name="Normal 8 3 2 11" xfId="9970" xr:uid="{6ED9D923-6F3B-4FEA-A733-85590CDB9C49}"/>
    <cellStyle name="Normal 8 3 2 2" xfId="497" xr:uid="{00000000-0005-0000-0000-0000321D0000}"/>
    <cellStyle name="Normal 8 3 2 2 10" xfId="9971" xr:uid="{24196800-84A1-427F-841D-B582E464B25E}"/>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2 2 2" xfId="16747" xr:uid="{C129716E-3CB2-403E-AC74-7A791BCF7E14}"/>
    <cellStyle name="Normal 8 3 2 2 2 2 2 3" xfId="12530" xr:uid="{D393A4E6-0F8C-4B72-AFEF-0610473AFA26}"/>
    <cellStyle name="Normal 8 3 2 2 2 2 3" xfId="5276" xr:uid="{00000000-0005-0000-0000-0000371D0000}"/>
    <cellStyle name="Normal 8 3 2 2 2 2 3 2" xfId="14602" xr:uid="{92607524-E912-4AB1-89F1-EBA0A5631606}"/>
    <cellStyle name="Normal 8 3 2 2 2 2 4" xfId="9572" xr:uid="{83269435-2305-4677-BD8B-8CB801DC108A}"/>
    <cellStyle name="Normal 8 3 2 2 2 2 4 2" xfId="18887" xr:uid="{8E7A1C8A-441D-4CD1-94C5-E0329577DEDA}"/>
    <cellStyle name="Normal 8 3 2 2 2 2 5" xfId="10385" xr:uid="{EBD6B228-D953-471D-A8D2-D3518BD41FA9}"/>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2 2 2" xfId="17160" xr:uid="{9F91A2EB-94A6-4BCA-AF63-62A68387B224}"/>
    <cellStyle name="Normal 8 3 2 2 2 3 2 3" xfId="12943" xr:uid="{7FFB5F78-4228-4141-8833-5E7DDF3896CD}"/>
    <cellStyle name="Normal 8 3 2 2 2 3 3" xfId="5689" xr:uid="{00000000-0005-0000-0000-00003B1D0000}"/>
    <cellStyle name="Normal 8 3 2 2 2 3 3 2" xfId="15015" xr:uid="{FCD8BD30-8886-46DF-92BE-4DED8E470F57}"/>
    <cellStyle name="Normal 8 3 2 2 2 3 4" xfId="10798" xr:uid="{1D4F44B7-77B8-43BA-8C1B-43992F4FC466}"/>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2 2 2" xfId="17573" xr:uid="{13120BBA-497E-4AD7-A0E2-2C9B52540CFF}"/>
    <cellStyle name="Normal 8 3 2 2 2 4 2 3" xfId="13356" xr:uid="{CA40698C-4D8C-4F17-BBFE-A71277CF0F3D}"/>
    <cellStyle name="Normal 8 3 2 2 2 4 3" xfId="6102" xr:uid="{00000000-0005-0000-0000-00003F1D0000}"/>
    <cellStyle name="Normal 8 3 2 2 2 4 3 2" xfId="15428" xr:uid="{200E60A8-BDF8-4635-9BC8-58F11E26F782}"/>
    <cellStyle name="Normal 8 3 2 2 2 4 4" xfId="11211" xr:uid="{A2CBFCA8-47EF-4E09-8155-E5E19CC410B5}"/>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2 2 2" xfId="17986" xr:uid="{26E94EFF-73E0-4D9B-B746-02215287BEFB}"/>
    <cellStyle name="Normal 8 3 2 2 2 5 2 3" xfId="13769" xr:uid="{4A2D76D7-84D3-43FD-B619-EBD3E95638EA}"/>
    <cellStyle name="Normal 8 3 2 2 2 5 3" xfId="6515" xr:uid="{00000000-0005-0000-0000-0000431D0000}"/>
    <cellStyle name="Normal 8 3 2 2 2 5 3 2" xfId="15841" xr:uid="{B84E39BE-EC59-4241-BCA6-013B3D002E6B}"/>
    <cellStyle name="Normal 8 3 2 2 2 5 4" xfId="11624" xr:uid="{2FA6095F-9AAC-4FC8-99E1-1FCEEB58D2A3}"/>
    <cellStyle name="Normal 8 3 2 2 2 6" xfId="2645" xr:uid="{00000000-0005-0000-0000-0000441D0000}"/>
    <cellStyle name="Normal 8 3 2 2 2 6 2" xfId="6928" xr:uid="{00000000-0005-0000-0000-0000451D0000}"/>
    <cellStyle name="Normal 8 3 2 2 2 6 2 2" xfId="16254" xr:uid="{DB7D1804-BB43-4549-80A2-CE694CFA1F56}"/>
    <cellStyle name="Normal 8 3 2 2 2 6 3" xfId="12037" xr:uid="{415062D0-9008-46DA-8451-058E9C519605}"/>
    <cellStyle name="Normal 8 3 2 2 2 7" xfId="4863" xr:uid="{00000000-0005-0000-0000-0000461D0000}"/>
    <cellStyle name="Normal 8 3 2 2 2 7 2" xfId="14189" xr:uid="{E596D512-AEAD-4E02-8EF8-1F7A6E390488}"/>
    <cellStyle name="Normal 8 3 2 2 2 8" xfId="9147" xr:uid="{16780743-13F5-44BF-919B-157B86988913}"/>
    <cellStyle name="Normal 8 3 2 2 2 8 2" xfId="18471" xr:uid="{9DB90ECD-353A-44EA-9F65-1C7CF141315F}"/>
    <cellStyle name="Normal 8 3 2 2 2 9" xfId="9972" xr:uid="{98277345-4175-4503-9AA7-A64197413864}"/>
    <cellStyle name="Normal 8 3 2 2 3" xfId="964" xr:uid="{00000000-0005-0000-0000-0000471D0000}"/>
    <cellStyle name="Normal 8 3 2 2 3 2" xfId="3198" xr:uid="{00000000-0005-0000-0000-0000481D0000}"/>
    <cellStyle name="Normal 8 3 2 2 3 2 2" xfId="7420" xr:uid="{00000000-0005-0000-0000-0000491D0000}"/>
    <cellStyle name="Normal 8 3 2 2 3 2 2 2" xfId="16746" xr:uid="{E4CB62C2-2EFE-4B95-A45F-4D9848599538}"/>
    <cellStyle name="Normal 8 3 2 2 3 2 3" xfId="12529" xr:uid="{722A9C2E-AD27-42FB-A69D-FFCB72C5C2AC}"/>
    <cellStyle name="Normal 8 3 2 2 3 3" xfId="5275" xr:uid="{00000000-0005-0000-0000-00004A1D0000}"/>
    <cellStyle name="Normal 8 3 2 2 3 3 2" xfId="14601" xr:uid="{A6EABB4C-0553-41C8-AA01-AC02E6895D6B}"/>
    <cellStyle name="Normal 8 3 2 2 3 4" xfId="9365" xr:uid="{47FF7C14-7484-41B9-856F-11398F7B2C7C}"/>
    <cellStyle name="Normal 8 3 2 2 3 4 2" xfId="18680" xr:uid="{5C7375F7-1133-4E75-9689-7863988E7B34}"/>
    <cellStyle name="Normal 8 3 2 2 3 5" xfId="10384" xr:uid="{3C8A6894-26B8-46B0-8E57-4612C36725B2}"/>
    <cellStyle name="Normal 8 3 2 2 4" xfId="1381" xr:uid="{00000000-0005-0000-0000-00004B1D0000}"/>
    <cellStyle name="Normal 8 3 2 2 4 2" xfId="3611" xr:uid="{00000000-0005-0000-0000-00004C1D0000}"/>
    <cellStyle name="Normal 8 3 2 2 4 2 2" xfId="7833" xr:uid="{00000000-0005-0000-0000-00004D1D0000}"/>
    <cellStyle name="Normal 8 3 2 2 4 2 2 2" xfId="17159" xr:uid="{5B5BBDC3-E581-4209-8730-2004DD80732B}"/>
    <cellStyle name="Normal 8 3 2 2 4 2 3" xfId="12942" xr:uid="{D5755FE6-C721-4D03-9C15-EA090E51CFAB}"/>
    <cellStyle name="Normal 8 3 2 2 4 3" xfId="5688" xr:uid="{00000000-0005-0000-0000-00004E1D0000}"/>
    <cellStyle name="Normal 8 3 2 2 4 3 2" xfId="15014" xr:uid="{13D21C2B-6BCE-4025-96BD-93EB6245A8DC}"/>
    <cellStyle name="Normal 8 3 2 2 4 4" xfId="10797" xr:uid="{3FF52F3B-014A-4851-B51A-6740A7D5CF1C}"/>
    <cellStyle name="Normal 8 3 2 2 5" xfId="1794" xr:uid="{00000000-0005-0000-0000-00004F1D0000}"/>
    <cellStyle name="Normal 8 3 2 2 5 2" xfId="4024" xr:uid="{00000000-0005-0000-0000-0000501D0000}"/>
    <cellStyle name="Normal 8 3 2 2 5 2 2" xfId="8246" xr:uid="{00000000-0005-0000-0000-0000511D0000}"/>
    <cellStyle name="Normal 8 3 2 2 5 2 2 2" xfId="17572" xr:uid="{F1A9A2CF-367C-42DE-9479-8B0C8E428FA4}"/>
    <cellStyle name="Normal 8 3 2 2 5 2 3" xfId="13355" xr:uid="{5DA6A97A-911F-4FCC-9C2C-96BF8B27A34A}"/>
    <cellStyle name="Normal 8 3 2 2 5 3" xfId="6101" xr:uid="{00000000-0005-0000-0000-0000521D0000}"/>
    <cellStyle name="Normal 8 3 2 2 5 3 2" xfId="15427" xr:uid="{E999AA7E-2343-45A0-BD54-D886BF4C0CC9}"/>
    <cellStyle name="Normal 8 3 2 2 5 4" xfId="11210" xr:uid="{C7694FAE-BADC-4F5A-ABA9-53F0E3CB635D}"/>
    <cellStyle name="Normal 8 3 2 2 6" xfId="2208" xr:uid="{00000000-0005-0000-0000-0000531D0000}"/>
    <cellStyle name="Normal 8 3 2 2 6 2" xfId="4437" xr:uid="{00000000-0005-0000-0000-0000541D0000}"/>
    <cellStyle name="Normal 8 3 2 2 6 2 2" xfId="8659" xr:uid="{00000000-0005-0000-0000-0000551D0000}"/>
    <cellStyle name="Normal 8 3 2 2 6 2 2 2" xfId="17985" xr:uid="{07A62097-1F71-44E7-AF90-4E27B15C8EF6}"/>
    <cellStyle name="Normal 8 3 2 2 6 2 3" xfId="13768" xr:uid="{38219F44-8DD0-4F77-89EA-888AB6A0E161}"/>
    <cellStyle name="Normal 8 3 2 2 6 3" xfId="6514" xr:uid="{00000000-0005-0000-0000-0000561D0000}"/>
    <cellStyle name="Normal 8 3 2 2 6 3 2" xfId="15840" xr:uid="{8E21CD79-7254-44ED-A0B0-1995FAF2BF92}"/>
    <cellStyle name="Normal 8 3 2 2 6 4" xfId="11623" xr:uid="{A5708D5D-461D-4E27-A298-0F6BDAC69B6D}"/>
    <cellStyle name="Normal 8 3 2 2 7" xfId="2644" xr:uid="{00000000-0005-0000-0000-0000571D0000}"/>
    <cellStyle name="Normal 8 3 2 2 7 2" xfId="6927" xr:uid="{00000000-0005-0000-0000-0000581D0000}"/>
    <cellStyle name="Normal 8 3 2 2 7 2 2" xfId="16253" xr:uid="{56D88149-768B-4F7C-88A8-C7B6BDAC52A5}"/>
    <cellStyle name="Normal 8 3 2 2 7 3" xfId="12036" xr:uid="{9D30EBDB-438F-47F1-932F-2FD9190F1E40}"/>
    <cellStyle name="Normal 8 3 2 2 8" xfId="4862" xr:uid="{00000000-0005-0000-0000-0000591D0000}"/>
    <cellStyle name="Normal 8 3 2 2 8 2" xfId="14188" xr:uid="{5079BAFF-7439-4A0E-B5DD-AA9BB5312050}"/>
    <cellStyle name="Normal 8 3 2 2 9" xfId="8940" xr:uid="{63944EF0-E10A-4406-A758-3BD135650136}"/>
    <cellStyle name="Normal 8 3 2 2 9 2" xfId="18264" xr:uid="{C954ACDF-EE56-4A24-9E09-33608D8DF8CE}"/>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2 2 2" xfId="16748" xr:uid="{74269A66-DDD5-4E88-9548-765EA70451AE}"/>
    <cellStyle name="Normal 8 3 2 3 2 2 3" xfId="12531" xr:uid="{9C5F3307-4D3B-4C28-A244-BA36666E3C2F}"/>
    <cellStyle name="Normal 8 3 2 3 2 3" xfId="5277" xr:uid="{00000000-0005-0000-0000-00005E1D0000}"/>
    <cellStyle name="Normal 8 3 2 3 2 3 2" xfId="14603" xr:uid="{2F1F840E-FE36-460A-9915-5B815AD20CB5}"/>
    <cellStyle name="Normal 8 3 2 3 2 4" xfId="9469" xr:uid="{7CA6C380-A6E9-4AF4-A29A-E40C8E9B5B5F}"/>
    <cellStyle name="Normal 8 3 2 3 2 4 2" xfId="18784" xr:uid="{6CBBE9DA-123F-43B5-83DC-44944566B724}"/>
    <cellStyle name="Normal 8 3 2 3 2 5" xfId="10386" xr:uid="{2242291B-595A-42D3-ABFF-EAD418FA4072}"/>
    <cellStyle name="Normal 8 3 2 3 3" xfId="1383" xr:uid="{00000000-0005-0000-0000-00005F1D0000}"/>
    <cellStyle name="Normal 8 3 2 3 3 2" xfId="3613" xr:uid="{00000000-0005-0000-0000-0000601D0000}"/>
    <cellStyle name="Normal 8 3 2 3 3 2 2" xfId="7835" xr:uid="{00000000-0005-0000-0000-0000611D0000}"/>
    <cellStyle name="Normal 8 3 2 3 3 2 2 2" xfId="17161" xr:uid="{EC614B00-63D5-45FF-94A9-FBEE47CABF23}"/>
    <cellStyle name="Normal 8 3 2 3 3 2 3" xfId="12944" xr:uid="{9DFC382B-89A2-4D86-A162-0D96F3CC7CB9}"/>
    <cellStyle name="Normal 8 3 2 3 3 3" xfId="5690" xr:uid="{00000000-0005-0000-0000-0000621D0000}"/>
    <cellStyle name="Normal 8 3 2 3 3 3 2" xfId="15016" xr:uid="{053F784C-5E65-4826-9B4E-A28642441F42}"/>
    <cellStyle name="Normal 8 3 2 3 3 4" xfId="10799" xr:uid="{59F9F452-426B-4FD4-B3B2-AA60CB0B2741}"/>
    <cellStyle name="Normal 8 3 2 3 4" xfId="1796" xr:uid="{00000000-0005-0000-0000-0000631D0000}"/>
    <cellStyle name="Normal 8 3 2 3 4 2" xfId="4026" xr:uid="{00000000-0005-0000-0000-0000641D0000}"/>
    <cellStyle name="Normal 8 3 2 3 4 2 2" xfId="8248" xr:uid="{00000000-0005-0000-0000-0000651D0000}"/>
    <cellStyle name="Normal 8 3 2 3 4 2 2 2" xfId="17574" xr:uid="{D360A482-C984-4159-943A-E62BC0770327}"/>
    <cellStyle name="Normal 8 3 2 3 4 2 3" xfId="13357" xr:uid="{FF473100-D31E-4B39-BCBF-557430163136}"/>
    <cellStyle name="Normal 8 3 2 3 4 3" xfId="6103" xr:uid="{00000000-0005-0000-0000-0000661D0000}"/>
    <cellStyle name="Normal 8 3 2 3 4 3 2" xfId="15429" xr:uid="{65DBCC2C-2980-4D12-A8D8-56234C7F3851}"/>
    <cellStyle name="Normal 8 3 2 3 4 4" xfId="11212" xr:uid="{BD55DC4C-1251-428E-942A-92D430D6B1BB}"/>
    <cellStyle name="Normal 8 3 2 3 5" xfId="2210" xr:uid="{00000000-0005-0000-0000-0000671D0000}"/>
    <cellStyle name="Normal 8 3 2 3 5 2" xfId="4439" xr:uid="{00000000-0005-0000-0000-0000681D0000}"/>
    <cellStyle name="Normal 8 3 2 3 5 2 2" xfId="8661" xr:uid="{00000000-0005-0000-0000-0000691D0000}"/>
    <cellStyle name="Normal 8 3 2 3 5 2 2 2" xfId="17987" xr:uid="{8405D635-623E-49F5-9698-BBC2F6D9F2CB}"/>
    <cellStyle name="Normal 8 3 2 3 5 2 3" xfId="13770" xr:uid="{7DD3CE66-D599-4180-8EF3-D77C2CE32773}"/>
    <cellStyle name="Normal 8 3 2 3 5 3" xfId="6516" xr:uid="{00000000-0005-0000-0000-00006A1D0000}"/>
    <cellStyle name="Normal 8 3 2 3 5 3 2" xfId="15842" xr:uid="{66D4A43F-09C5-4236-AFF9-3BD84DB241E4}"/>
    <cellStyle name="Normal 8 3 2 3 5 4" xfId="11625" xr:uid="{E5D51531-DA0C-4CB1-9BDB-A8978161A351}"/>
    <cellStyle name="Normal 8 3 2 3 6" xfId="2646" xr:uid="{00000000-0005-0000-0000-00006B1D0000}"/>
    <cellStyle name="Normal 8 3 2 3 6 2" xfId="6929" xr:uid="{00000000-0005-0000-0000-00006C1D0000}"/>
    <cellStyle name="Normal 8 3 2 3 6 2 2" xfId="16255" xr:uid="{C9C67F3E-30B0-438F-8A0C-0A1BA6037651}"/>
    <cellStyle name="Normal 8 3 2 3 6 3" xfId="12038" xr:uid="{BDEE876E-F1FE-4D73-8B6F-5823E697755C}"/>
    <cellStyle name="Normal 8 3 2 3 7" xfId="4864" xr:uid="{00000000-0005-0000-0000-00006D1D0000}"/>
    <cellStyle name="Normal 8 3 2 3 7 2" xfId="14190" xr:uid="{2DF17F28-E5AD-4DF3-947E-0D9B7E1F78F2}"/>
    <cellStyle name="Normal 8 3 2 3 8" xfId="9044" xr:uid="{5ED49706-9CA9-4EE9-B01D-112CD1DB587C}"/>
    <cellStyle name="Normal 8 3 2 3 8 2" xfId="18368" xr:uid="{FDF880C7-3BBC-491B-B8D0-429A666424DE}"/>
    <cellStyle name="Normal 8 3 2 3 9" xfId="9973" xr:uid="{D9AFD3DE-2A61-4C7C-8012-9E41B512C266}"/>
    <cellStyle name="Normal 8 3 2 4" xfId="963" xr:uid="{00000000-0005-0000-0000-00006E1D0000}"/>
    <cellStyle name="Normal 8 3 2 4 2" xfId="3197" xr:uid="{00000000-0005-0000-0000-00006F1D0000}"/>
    <cellStyle name="Normal 8 3 2 4 2 2" xfId="7419" xr:uid="{00000000-0005-0000-0000-0000701D0000}"/>
    <cellStyle name="Normal 8 3 2 4 2 2 2" xfId="16745" xr:uid="{C99DAF19-D366-4EBC-992B-6D6C239BA2F7}"/>
    <cellStyle name="Normal 8 3 2 4 2 3" xfId="12528" xr:uid="{95DBA61C-775B-420D-91CE-FB14068ED730}"/>
    <cellStyle name="Normal 8 3 2 4 3" xfId="5274" xr:uid="{00000000-0005-0000-0000-0000711D0000}"/>
    <cellStyle name="Normal 8 3 2 4 3 2" xfId="14600" xr:uid="{B4856D46-1DC4-4554-ADBF-248FD55AF425}"/>
    <cellStyle name="Normal 8 3 2 4 4" xfId="9262" xr:uid="{8842595C-CD28-4B10-9BE6-37883B4C2AA9}"/>
    <cellStyle name="Normal 8 3 2 4 4 2" xfId="18577" xr:uid="{5FD2CC81-8D92-45EB-8978-E413561F80AC}"/>
    <cellStyle name="Normal 8 3 2 4 5" xfId="10383" xr:uid="{59717965-5417-48A5-84F3-AC22F14E7678}"/>
    <cellStyle name="Normal 8 3 2 5" xfId="1380" xr:uid="{00000000-0005-0000-0000-0000721D0000}"/>
    <cellStyle name="Normal 8 3 2 5 2" xfId="3610" xr:uid="{00000000-0005-0000-0000-0000731D0000}"/>
    <cellStyle name="Normal 8 3 2 5 2 2" xfId="7832" xr:uid="{00000000-0005-0000-0000-0000741D0000}"/>
    <cellStyle name="Normal 8 3 2 5 2 2 2" xfId="17158" xr:uid="{5B8AA12D-3CEB-4375-A0C5-5A8423275705}"/>
    <cellStyle name="Normal 8 3 2 5 2 3" xfId="12941" xr:uid="{15E66495-47B7-4328-8495-AE04CED97588}"/>
    <cellStyle name="Normal 8 3 2 5 3" xfId="5687" xr:uid="{00000000-0005-0000-0000-0000751D0000}"/>
    <cellStyle name="Normal 8 3 2 5 3 2" xfId="15013" xr:uid="{B83AB8F2-C568-426F-8364-A00DEF288D46}"/>
    <cellStyle name="Normal 8 3 2 5 4" xfId="10796" xr:uid="{2A1D7AF3-2ABA-4F03-B38B-A337BB2B4C28}"/>
    <cellStyle name="Normal 8 3 2 6" xfId="1793" xr:uid="{00000000-0005-0000-0000-0000761D0000}"/>
    <cellStyle name="Normal 8 3 2 6 2" xfId="4023" xr:uid="{00000000-0005-0000-0000-0000771D0000}"/>
    <cellStyle name="Normal 8 3 2 6 2 2" xfId="8245" xr:uid="{00000000-0005-0000-0000-0000781D0000}"/>
    <cellStyle name="Normal 8 3 2 6 2 2 2" xfId="17571" xr:uid="{8605E419-253D-4A30-9808-82CD52C8D74C}"/>
    <cellStyle name="Normal 8 3 2 6 2 3" xfId="13354" xr:uid="{3556CE7C-A07D-4F75-8DA5-1FEA047E7906}"/>
    <cellStyle name="Normal 8 3 2 6 3" xfId="6100" xr:uid="{00000000-0005-0000-0000-0000791D0000}"/>
    <cellStyle name="Normal 8 3 2 6 3 2" xfId="15426" xr:uid="{9FAD7E11-6F7F-49DF-A44C-0EB2A97A09D9}"/>
    <cellStyle name="Normal 8 3 2 6 4" xfId="11209" xr:uid="{1ABE7726-43C3-4FEC-A1D4-623143A921DD}"/>
    <cellStyle name="Normal 8 3 2 7" xfId="2207" xr:uid="{00000000-0005-0000-0000-00007A1D0000}"/>
    <cellStyle name="Normal 8 3 2 7 2" xfId="4436" xr:uid="{00000000-0005-0000-0000-00007B1D0000}"/>
    <cellStyle name="Normal 8 3 2 7 2 2" xfId="8658" xr:uid="{00000000-0005-0000-0000-00007C1D0000}"/>
    <cellStyle name="Normal 8 3 2 7 2 2 2" xfId="17984" xr:uid="{074B8273-D37D-4269-BD14-7B787E9F8E5E}"/>
    <cellStyle name="Normal 8 3 2 7 2 3" xfId="13767" xr:uid="{3D087DBF-C9E2-407C-A3A4-AE7CD12F7247}"/>
    <cellStyle name="Normal 8 3 2 7 3" xfId="6513" xr:uid="{00000000-0005-0000-0000-00007D1D0000}"/>
    <cellStyle name="Normal 8 3 2 7 3 2" xfId="15839" xr:uid="{E1B9657A-3DCE-478E-ADFE-1277DF2FCA93}"/>
    <cellStyle name="Normal 8 3 2 7 4" xfId="11622" xr:uid="{429E9A2A-2896-4949-8627-13117DE514B9}"/>
    <cellStyle name="Normal 8 3 2 8" xfId="2643" xr:uid="{00000000-0005-0000-0000-00007E1D0000}"/>
    <cellStyle name="Normal 8 3 2 8 2" xfId="6926" xr:uid="{00000000-0005-0000-0000-00007F1D0000}"/>
    <cellStyle name="Normal 8 3 2 8 2 2" xfId="16252" xr:uid="{DD614ED8-E0A3-49CD-A9F2-E335A538D554}"/>
    <cellStyle name="Normal 8 3 2 8 3" xfId="12035" xr:uid="{7C7DADE4-99DD-45D9-B0EF-F2AEB5919DEA}"/>
    <cellStyle name="Normal 8 3 2 9" xfId="4861" xr:uid="{00000000-0005-0000-0000-0000801D0000}"/>
    <cellStyle name="Normal 8 3 2 9 2" xfId="14187" xr:uid="{02F25B7D-F0C9-457D-A7F8-CA5D678CB45D}"/>
    <cellStyle name="Normal 8 3 3" xfId="500" xr:uid="{00000000-0005-0000-0000-0000811D0000}"/>
    <cellStyle name="Normal 8 3 3 10" xfId="9974" xr:uid="{0F591B2D-6799-4B01-BAD9-C1584391A54A}"/>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2 2 2" xfId="16750" xr:uid="{E9A3CAF5-569E-4847-BBAF-7EF4BE1D8F24}"/>
    <cellStyle name="Normal 8 3 3 2 2 2 3" xfId="12533" xr:uid="{3AF51D11-AED4-4D67-9B64-EDFA4A681F85}"/>
    <cellStyle name="Normal 8 3 3 2 2 3" xfId="5279" xr:uid="{00000000-0005-0000-0000-0000861D0000}"/>
    <cellStyle name="Normal 8 3 3 2 2 3 2" xfId="14605" xr:uid="{4F4BCB8A-0129-4ADF-A7CD-0811A9AE0FEE}"/>
    <cellStyle name="Normal 8 3 3 2 2 4" xfId="9509" xr:uid="{3B4378D3-7C51-4B91-822B-758528BFF352}"/>
    <cellStyle name="Normal 8 3 3 2 2 4 2" xfId="18824" xr:uid="{E6EA52FF-0AE3-4428-ADCC-D1C0C0DFA005}"/>
    <cellStyle name="Normal 8 3 3 2 2 5" xfId="10388" xr:uid="{94F8BB7A-F7FA-4E6B-83D3-E2197491F627}"/>
    <cellStyle name="Normal 8 3 3 2 3" xfId="1385" xr:uid="{00000000-0005-0000-0000-0000871D0000}"/>
    <cellStyle name="Normal 8 3 3 2 3 2" xfId="3615" xr:uid="{00000000-0005-0000-0000-0000881D0000}"/>
    <cellStyle name="Normal 8 3 3 2 3 2 2" xfId="7837" xr:uid="{00000000-0005-0000-0000-0000891D0000}"/>
    <cellStyle name="Normal 8 3 3 2 3 2 2 2" xfId="17163" xr:uid="{93F5CCBC-93CD-4688-90F5-E1950C63758C}"/>
    <cellStyle name="Normal 8 3 3 2 3 2 3" xfId="12946" xr:uid="{5C9E4FBA-2C71-4887-98E8-0652552815AC}"/>
    <cellStyle name="Normal 8 3 3 2 3 3" xfId="5692" xr:uid="{00000000-0005-0000-0000-00008A1D0000}"/>
    <cellStyle name="Normal 8 3 3 2 3 3 2" xfId="15018" xr:uid="{4C2EF5B5-3091-4839-A579-2D298AD36350}"/>
    <cellStyle name="Normal 8 3 3 2 3 4" xfId="10801" xr:uid="{BE744880-7FF7-450D-9564-95F38A5CB76E}"/>
    <cellStyle name="Normal 8 3 3 2 4" xfId="1798" xr:uid="{00000000-0005-0000-0000-00008B1D0000}"/>
    <cellStyle name="Normal 8 3 3 2 4 2" xfId="4028" xr:uid="{00000000-0005-0000-0000-00008C1D0000}"/>
    <cellStyle name="Normal 8 3 3 2 4 2 2" xfId="8250" xr:uid="{00000000-0005-0000-0000-00008D1D0000}"/>
    <cellStyle name="Normal 8 3 3 2 4 2 2 2" xfId="17576" xr:uid="{FC07DB5F-B087-4495-B5B3-8FDDBE21B46B}"/>
    <cellStyle name="Normal 8 3 3 2 4 2 3" xfId="13359" xr:uid="{83627AFB-7F97-4550-8D5B-C2400E1B8524}"/>
    <cellStyle name="Normal 8 3 3 2 4 3" xfId="6105" xr:uid="{00000000-0005-0000-0000-00008E1D0000}"/>
    <cellStyle name="Normal 8 3 3 2 4 3 2" xfId="15431" xr:uid="{6E69F0A8-ABD0-4115-AB42-FE8EE93ECDC5}"/>
    <cellStyle name="Normal 8 3 3 2 4 4" xfId="11214" xr:uid="{F13ED6CB-7413-45D0-BC4D-D6950696DDA2}"/>
    <cellStyle name="Normal 8 3 3 2 5" xfId="2212" xr:uid="{00000000-0005-0000-0000-00008F1D0000}"/>
    <cellStyle name="Normal 8 3 3 2 5 2" xfId="4441" xr:uid="{00000000-0005-0000-0000-0000901D0000}"/>
    <cellStyle name="Normal 8 3 3 2 5 2 2" xfId="8663" xr:uid="{00000000-0005-0000-0000-0000911D0000}"/>
    <cellStyle name="Normal 8 3 3 2 5 2 2 2" xfId="17989" xr:uid="{7D814685-E8CF-4FD1-9B75-935EB05A6571}"/>
    <cellStyle name="Normal 8 3 3 2 5 2 3" xfId="13772" xr:uid="{6DB54F0B-48C8-436C-9A93-4670C475E216}"/>
    <cellStyle name="Normal 8 3 3 2 5 3" xfId="6518" xr:uid="{00000000-0005-0000-0000-0000921D0000}"/>
    <cellStyle name="Normal 8 3 3 2 5 3 2" xfId="15844" xr:uid="{F79DC96A-C0D0-4AA7-AF0D-C73FBD26607D}"/>
    <cellStyle name="Normal 8 3 3 2 5 4" xfId="11627" xr:uid="{B5F03BBB-C808-4041-9791-783141C6F6F7}"/>
    <cellStyle name="Normal 8 3 3 2 6" xfId="2648" xr:uid="{00000000-0005-0000-0000-0000931D0000}"/>
    <cellStyle name="Normal 8 3 3 2 6 2" xfId="6931" xr:uid="{00000000-0005-0000-0000-0000941D0000}"/>
    <cellStyle name="Normal 8 3 3 2 6 2 2" xfId="16257" xr:uid="{3E2B5DB5-D425-45D5-B2D5-2A3A1D7BADAE}"/>
    <cellStyle name="Normal 8 3 3 2 6 3" xfId="12040" xr:uid="{AB2CB9EA-6819-40AC-A111-8A55B5BA7FD5}"/>
    <cellStyle name="Normal 8 3 3 2 7" xfId="4866" xr:uid="{00000000-0005-0000-0000-0000951D0000}"/>
    <cellStyle name="Normal 8 3 3 2 7 2" xfId="14192" xr:uid="{70E05FCD-6494-4EEF-946F-DBB6DAB4EDFC}"/>
    <cellStyle name="Normal 8 3 3 2 8" xfId="9084" xr:uid="{94243AB7-0454-4C95-8E94-054E46718167}"/>
    <cellStyle name="Normal 8 3 3 2 8 2" xfId="18408" xr:uid="{F4FA36DA-88D3-4F86-A774-FA8E5EC3A5B8}"/>
    <cellStyle name="Normal 8 3 3 2 9" xfId="9975" xr:uid="{2DB35AB7-0619-4502-BE6C-594E98F55ABE}"/>
    <cellStyle name="Normal 8 3 3 3" xfId="967" xr:uid="{00000000-0005-0000-0000-0000961D0000}"/>
    <cellStyle name="Normal 8 3 3 3 2" xfId="3201" xr:uid="{00000000-0005-0000-0000-0000971D0000}"/>
    <cellStyle name="Normal 8 3 3 3 2 2" xfId="7423" xr:uid="{00000000-0005-0000-0000-0000981D0000}"/>
    <cellStyle name="Normal 8 3 3 3 2 2 2" xfId="16749" xr:uid="{A9687EAB-DDEA-4E7A-A025-1E3343FAE40A}"/>
    <cellStyle name="Normal 8 3 3 3 2 3" xfId="12532" xr:uid="{C7C0007A-E223-400F-AA8A-0AC496C427C1}"/>
    <cellStyle name="Normal 8 3 3 3 3" xfId="5278" xr:uid="{00000000-0005-0000-0000-0000991D0000}"/>
    <cellStyle name="Normal 8 3 3 3 3 2" xfId="14604" xr:uid="{C819AC97-8E93-4102-B63E-C5484D5A9C79}"/>
    <cellStyle name="Normal 8 3 3 3 4" xfId="9302" xr:uid="{3985B908-2B56-4F9B-BEA3-8962926FD004}"/>
    <cellStyle name="Normal 8 3 3 3 4 2" xfId="18617" xr:uid="{CD7EA470-9FC9-4E46-B4AA-640F622BB95E}"/>
    <cellStyle name="Normal 8 3 3 3 5" xfId="10387" xr:uid="{BFA6E6A9-0D9B-4BD2-9CE7-1DDE313555A8}"/>
    <cellStyle name="Normal 8 3 3 4" xfId="1384" xr:uid="{00000000-0005-0000-0000-00009A1D0000}"/>
    <cellStyle name="Normal 8 3 3 4 2" xfId="3614" xr:uid="{00000000-0005-0000-0000-00009B1D0000}"/>
    <cellStyle name="Normal 8 3 3 4 2 2" xfId="7836" xr:uid="{00000000-0005-0000-0000-00009C1D0000}"/>
    <cellStyle name="Normal 8 3 3 4 2 2 2" xfId="17162" xr:uid="{5949E434-2599-4D82-B96F-BFF25B4CBC15}"/>
    <cellStyle name="Normal 8 3 3 4 2 3" xfId="12945" xr:uid="{B2BF4EAC-812A-4991-AD06-FBA482320856}"/>
    <cellStyle name="Normal 8 3 3 4 3" xfId="5691" xr:uid="{00000000-0005-0000-0000-00009D1D0000}"/>
    <cellStyle name="Normal 8 3 3 4 3 2" xfId="15017" xr:uid="{CC0A1C32-0AEA-4635-81DD-6F31393C7385}"/>
    <cellStyle name="Normal 8 3 3 4 4" xfId="10800" xr:uid="{F4707087-0772-4439-9F51-4E914FD05EEA}"/>
    <cellStyle name="Normal 8 3 3 5" xfId="1797" xr:uid="{00000000-0005-0000-0000-00009E1D0000}"/>
    <cellStyle name="Normal 8 3 3 5 2" xfId="4027" xr:uid="{00000000-0005-0000-0000-00009F1D0000}"/>
    <cellStyle name="Normal 8 3 3 5 2 2" xfId="8249" xr:uid="{00000000-0005-0000-0000-0000A01D0000}"/>
    <cellStyle name="Normal 8 3 3 5 2 2 2" xfId="17575" xr:uid="{B457FAED-5D10-456F-A0F1-DAE991BD5DE9}"/>
    <cellStyle name="Normal 8 3 3 5 2 3" xfId="13358" xr:uid="{117E7900-9BCC-4296-B627-98C672B56DC0}"/>
    <cellStyle name="Normal 8 3 3 5 3" xfId="6104" xr:uid="{00000000-0005-0000-0000-0000A11D0000}"/>
    <cellStyle name="Normal 8 3 3 5 3 2" xfId="15430" xr:uid="{7148941A-8662-4229-B2EB-8DB65004355D}"/>
    <cellStyle name="Normal 8 3 3 5 4" xfId="11213" xr:uid="{03FC2CF6-7B63-47D7-8475-10F285550412}"/>
    <cellStyle name="Normal 8 3 3 6" xfId="2211" xr:uid="{00000000-0005-0000-0000-0000A21D0000}"/>
    <cellStyle name="Normal 8 3 3 6 2" xfId="4440" xr:uid="{00000000-0005-0000-0000-0000A31D0000}"/>
    <cellStyle name="Normal 8 3 3 6 2 2" xfId="8662" xr:uid="{00000000-0005-0000-0000-0000A41D0000}"/>
    <cellStyle name="Normal 8 3 3 6 2 2 2" xfId="17988" xr:uid="{53F765AF-5D8B-431E-BF8F-AC3E470B3611}"/>
    <cellStyle name="Normal 8 3 3 6 2 3" xfId="13771" xr:uid="{E22BE934-419F-4CE4-8865-F57B178A6CDE}"/>
    <cellStyle name="Normal 8 3 3 6 3" xfId="6517" xr:uid="{00000000-0005-0000-0000-0000A51D0000}"/>
    <cellStyle name="Normal 8 3 3 6 3 2" xfId="15843" xr:uid="{73B58EE9-A3CC-4B41-9518-0D2FB4824A29}"/>
    <cellStyle name="Normal 8 3 3 6 4" xfId="11626" xr:uid="{807B6F75-1AD5-47E9-ABAA-CCAE6F49266D}"/>
    <cellStyle name="Normal 8 3 3 7" xfId="2647" xr:uid="{00000000-0005-0000-0000-0000A61D0000}"/>
    <cellStyle name="Normal 8 3 3 7 2" xfId="6930" xr:uid="{00000000-0005-0000-0000-0000A71D0000}"/>
    <cellStyle name="Normal 8 3 3 7 2 2" xfId="16256" xr:uid="{8A04A0A6-6F86-4054-BB64-4D24398EEED9}"/>
    <cellStyle name="Normal 8 3 3 7 3" xfId="12039" xr:uid="{B90E613A-AA4E-4CD5-9E77-60453B617D7B}"/>
    <cellStyle name="Normal 8 3 3 8" xfId="4865" xr:uid="{00000000-0005-0000-0000-0000A81D0000}"/>
    <cellStyle name="Normal 8 3 3 8 2" xfId="14191" xr:uid="{AE2D21F3-8FEF-4A83-92B9-EFD65DBFFCF5}"/>
    <cellStyle name="Normal 8 3 3 9" xfId="8877" xr:uid="{4F8231E3-800E-43E7-B1B6-9633EBFFFFE1}"/>
    <cellStyle name="Normal 8 3 3 9 2" xfId="18201" xr:uid="{15BA0749-1124-4E53-AAD3-499B270CA59C}"/>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2 2 2" xfId="16751" xr:uid="{22A744E3-041D-4AED-80D4-C3F087D4102B}"/>
    <cellStyle name="Normal 8 3 4 2 2 3" xfId="12534" xr:uid="{1463CE54-8CFC-4D7A-BF9C-F7310CCB81E5}"/>
    <cellStyle name="Normal 8 3 4 2 3" xfId="5280" xr:uid="{00000000-0005-0000-0000-0000AD1D0000}"/>
    <cellStyle name="Normal 8 3 4 2 3 2" xfId="14606" xr:uid="{46722672-5459-4D65-9664-F1D0C90E6544}"/>
    <cellStyle name="Normal 8 3 4 2 4" xfId="9406" xr:uid="{8751BE45-E47B-4A0A-B0DE-04C14FAEA88D}"/>
    <cellStyle name="Normal 8 3 4 2 4 2" xfId="18721" xr:uid="{1FEAA9FA-8456-4304-8D1F-C569BEBA67DC}"/>
    <cellStyle name="Normal 8 3 4 2 5" xfId="10389" xr:uid="{7601D101-840A-4C20-8A2B-67A28E1D1E5A}"/>
    <cellStyle name="Normal 8 3 4 3" xfId="1386" xr:uid="{00000000-0005-0000-0000-0000AE1D0000}"/>
    <cellStyle name="Normal 8 3 4 3 2" xfId="3616" xr:uid="{00000000-0005-0000-0000-0000AF1D0000}"/>
    <cellStyle name="Normal 8 3 4 3 2 2" xfId="7838" xr:uid="{00000000-0005-0000-0000-0000B01D0000}"/>
    <cellStyle name="Normal 8 3 4 3 2 2 2" xfId="17164" xr:uid="{C774235D-CDC4-4A34-B880-B3386E982B1A}"/>
    <cellStyle name="Normal 8 3 4 3 2 3" xfId="12947" xr:uid="{DE1888D5-58C4-44C7-9CAA-BFB12AF777ED}"/>
    <cellStyle name="Normal 8 3 4 3 3" xfId="5693" xr:uid="{00000000-0005-0000-0000-0000B11D0000}"/>
    <cellStyle name="Normal 8 3 4 3 3 2" xfId="15019" xr:uid="{611BCE4C-562B-4F7A-AA2A-86955719A8D5}"/>
    <cellStyle name="Normal 8 3 4 3 4" xfId="10802" xr:uid="{3B9CA1CD-C5C8-4917-AA34-11D365636BCC}"/>
    <cellStyle name="Normal 8 3 4 4" xfId="1799" xr:uid="{00000000-0005-0000-0000-0000B21D0000}"/>
    <cellStyle name="Normal 8 3 4 4 2" xfId="4029" xr:uid="{00000000-0005-0000-0000-0000B31D0000}"/>
    <cellStyle name="Normal 8 3 4 4 2 2" xfId="8251" xr:uid="{00000000-0005-0000-0000-0000B41D0000}"/>
    <cellStyle name="Normal 8 3 4 4 2 2 2" xfId="17577" xr:uid="{5E3EB66D-2EAA-404B-8B32-BAB955C552DF}"/>
    <cellStyle name="Normal 8 3 4 4 2 3" xfId="13360" xr:uid="{FD63F8DE-FB77-4426-94A1-CD9714F0169D}"/>
    <cellStyle name="Normal 8 3 4 4 3" xfId="6106" xr:uid="{00000000-0005-0000-0000-0000B51D0000}"/>
    <cellStyle name="Normal 8 3 4 4 3 2" xfId="15432" xr:uid="{9D379FAF-8F9C-4673-901C-C2A2A1AE3F6E}"/>
    <cellStyle name="Normal 8 3 4 4 4" xfId="11215" xr:uid="{97740A3B-26F7-49E6-9221-5BB347C6F1E7}"/>
    <cellStyle name="Normal 8 3 4 5" xfId="2213" xr:uid="{00000000-0005-0000-0000-0000B61D0000}"/>
    <cellStyle name="Normal 8 3 4 5 2" xfId="4442" xr:uid="{00000000-0005-0000-0000-0000B71D0000}"/>
    <cellStyle name="Normal 8 3 4 5 2 2" xfId="8664" xr:uid="{00000000-0005-0000-0000-0000B81D0000}"/>
    <cellStyle name="Normal 8 3 4 5 2 2 2" xfId="17990" xr:uid="{27DD8BD8-0374-4FAA-B767-7D3B2C0DD0D1}"/>
    <cellStyle name="Normal 8 3 4 5 2 3" xfId="13773" xr:uid="{8557C69E-B859-45A8-914A-68FB8B353283}"/>
    <cellStyle name="Normal 8 3 4 5 3" xfId="6519" xr:uid="{00000000-0005-0000-0000-0000B91D0000}"/>
    <cellStyle name="Normal 8 3 4 5 3 2" xfId="15845" xr:uid="{0557FFC9-BA90-48DB-BAA4-186B0F204E8B}"/>
    <cellStyle name="Normal 8 3 4 5 4" xfId="11628" xr:uid="{A123E833-FC24-42FF-8B41-EE9B4371B39C}"/>
    <cellStyle name="Normal 8 3 4 6" xfId="2649" xr:uid="{00000000-0005-0000-0000-0000BA1D0000}"/>
    <cellStyle name="Normal 8 3 4 6 2" xfId="6932" xr:uid="{00000000-0005-0000-0000-0000BB1D0000}"/>
    <cellStyle name="Normal 8 3 4 6 2 2" xfId="16258" xr:uid="{70B00DCA-007E-42B6-8897-8B3626DEAEE4}"/>
    <cellStyle name="Normal 8 3 4 6 3" xfId="12041" xr:uid="{F82C092E-87EF-4D11-8585-388B26ED61BF}"/>
    <cellStyle name="Normal 8 3 4 7" xfId="4867" xr:uid="{00000000-0005-0000-0000-0000BC1D0000}"/>
    <cellStyle name="Normal 8 3 4 7 2" xfId="14193" xr:uid="{360EC16F-44CE-4B77-AA2C-6A3E241FD7A7}"/>
    <cellStyle name="Normal 8 3 4 8" xfId="8981" xr:uid="{BEE184E9-ECE6-4107-B29A-CC8BC7F28FA3}"/>
    <cellStyle name="Normal 8 3 4 8 2" xfId="18305" xr:uid="{3D86E88C-3C51-40AA-AFC0-7D64D7E610A7}"/>
    <cellStyle name="Normal 8 3 4 9" xfId="9976" xr:uid="{F26D86B9-8F7C-4071-AADB-C6D11E789D51}"/>
    <cellStyle name="Normal 8 3 5" xfId="962" xr:uid="{00000000-0005-0000-0000-0000BD1D0000}"/>
    <cellStyle name="Normal 8 3 5 2" xfId="3196" xr:uid="{00000000-0005-0000-0000-0000BE1D0000}"/>
    <cellStyle name="Normal 8 3 5 2 2" xfId="7418" xr:uid="{00000000-0005-0000-0000-0000BF1D0000}"/>
    <cellStyle name="Normal 8 3 5 2 2 2" xfId="16744" xr:uid="{006AEBD3-99C8-40ED-B87A-9A33310395CE}"/>
    <cellStyle name="Normal 8 3 5 2 3" xfId="12527" xr:uid="{D8DD9B97-B82F-4F03-AE59-D3EFB30B8ECA}"/>
    <cellStyle name="Normal 8 3 5 3" xfId="5273" xr:uid="{00000000-0005-0000-0000-0000C01D0000}"/>
    <cellStyle name="Normal 8 3 5 3 2" xfId="14599" xr:uid="{C0695359-5086-4B21-9239-D32C15DA1968}"/>
    <cellStyle name="Normal 8 3 5 4" xfId="9198" xr:uid="{FA5A5C79-C3AC-4E17-9344-90C4E411EE0B}"/>
    <cellStyle name="Normal 8 3 5 4 2" xfId="18514" xr:uid="{296C5771-73E8-4AE3-BD23-B8AABE43BD5D}"/>
    <cellStyle name="Normal 8 3 5 5" xfId="10382" xr:uid="{4053CB45-56FF-4373-AFF8-455EF5131BA4}"/>
    <cellStyle name="Normal 8 3 6" xfId="1379" xr:uid="{00000000-0005-0000-0000-0000C11D0000}"/>
    <cellStyle name="Normal 8 3 6 2" xfId="3609" xr:uid="{00000000-0005-0000-0000-0000C21D0000}"/>
    <cellStyle name="Normal 8 3 6 2 2" xfId="7831" xr:uid="{00000000-0005-0000-0000-0000C31D0000}"/>
    <cellStyle name="Normal 8 3 6 2 2 2" xfId="17157" xr:uid="{A5C3682A-04C5-4CAA-93B7-788D40A82D0A}"/>
    <cellStyle name="Normal 8 3 6 2 3" xfId="12940" xr:uid="{F1856B63-35D8-47AA-B089-2136BD787CCA}"/>
    <cellStyle name="Normal 8 3 6 3" xfId="5686" xr:uid="{00000000-0005-0000-0000-0000C41D0000}"/>
    <cellStyle name="Normal 8 3 6 3 2" xfId="15012" xr:uid="{E5355502-AD0A-426F-9846-B7EC0AE564C8}"/>
    <cellStyle name="Normal 8 3 6 4" xfId="10795" xr:uid="{36FDA24C-2078-4232-9113-D14131470D09}"/>
    <cellStyle name="Normal 8 3 7" xfId="1792" xr:uid="{00000000-0005-0000-0000-0000C51D0000}"/>
    <cellStyle name="Normal 8 3 7 2" xfId="4022" xr:uid="{00000000-0005-0000-0000-0000C61D0000}"/>
    <cellStyle name="Normal 8 3 7 2 2" xfId="8244" xr:uid="{00000000-0005-0000-0000-0000C71D0000}"/>
    <cellStyle name="Normal 8 3 7 2 2 2" xfId="17570" xr:uid="{955DADBA-7A30-4D98-8F0C-D8B39C8BCDA9}"/>
    <cellStyle name="Normal 8 3 7 2 3" xfId="13353" xr:uid="{58EB27A0-999A-4817-9B62-EB8B0D1BC30D}"/>
    <cellStyle name="Normal 8 3 7 3" xfId="6099" xr:uid="{00000000-0005-0000-0000-0000C81D0000}"/>
    <cellStyle name="Normal 8 3 7 3 2" xfId="15425" xr:uid="{912DAEB7-902E-49CE-AC4B-C45B01520C7F}"/>
    <cellStyle name="Normal 8 3 7 4" xfId="11208" xr:uid="{3EAF1047-61C1-49AC-B4CF-301232622BDF}"/>
    <cellStyle name="Normal 8 3 8" xfId="2206" xr:uid="{00000000-0005-0000-0000-0000C91D0000}"/>
    <cellStyle name="Normal 8 3 8 2" xfId="4435" xr:uid="{00000000-0005-0000-0000-0000CA1D0000}"/>
    <cellStyle name="Normal 8 3 8 2 2" xfId="8657" xr:uid="{00000000-0005-0000-0000-0000CB1D0000}"/>
    <cellStyle name="Normal 8 3 8 2 2 2" xfId="17983" xr:uid="{4A942810-7071-4B13-8779-86544537AA6B}"/>
    <cellStyle name="Normal 8 3 8 2 3" xfId="13766" xr:uid="{D2A4A7F9-207F-46B1-8F62-08F20EA35A77}"/>
    <cellStyle name="Normal 8 3 8 3" xfId="6512" xr:uid="{00000000-0005-0000-0000-0000CC1D0000}"/>
    <cellStyle name="Normal 8 3 8 3 2" xfId="15838" xr:uid="{291760E0-B3D8-4B82-8963-D106EC9E2FA8}"/>
    <cellStyle name="Normal 8 3 8 4" xfId="11621" xr:uid="{C1CC0F68-2686-4BA1-937D-07277EA7F604}"/>
    <cellStyle name="Normal 8 3 9" xfId="2642" xr:uid="{00000000-0005-0000-0000-0000CD1D0000}"/>
    <cellStyle name="Normal 8 3 9 2" xfId="6925" xr:uid="{00000000-0005-0000-0000-0000CE1D0000}"/>
    <cellStyle name="Normal 8 3 9 2 2" xfId="16251" xr:uid="{EA1138E7-F984-41DA-93E8-1BAFBC8F9961}"/>
    <cellStyle name="Normal 8 3 9 3" xfId="12034" xr:uid="{32E5FAD8-B350-42B9-A92C-1B74356BE511}"/>
    <cellStyle name="Normal 8 4" xfId="503" xr:uid="{00000000-0005-0000-0000-0000CF1D0000}"/>
    <cellStyle name="Normal 8 4 10" xfId="8834" xr:uid="{78848A4E-06FA-4050-B553-A3A7DEA1B047}"/>
    <cellStyle name="Normal 8 4 10 2" xfId="18158" xr:uid="{A44508B4-4D43-40DC-9AE6-D621930B93F8}"/>
    <cellStyle name="Normal 8 4 11" xfId="9977" xr:uid="{D69A8561-2CD7-4729-936C-3EE88D22652D}"/>
    <cellStyle name="Normal 8 4 2" xfId="504" xr:uid="{00000000-0005-0000-0000-0000D01D0000}"/>
    <cellStyle name="Normal 8 4 2 10" xfId="9978" xr:uid="{4E4F1953-9BA6-4F33-B484-CA3E1A986455}"/>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2 2 2" xfId="16754" xr:uid="{BD403DCC-AAEC-469C-B42B-E8BFBC812EAE}"/>
    <cellStyle name="Normal 8 4 2 2 2 2 3" xfId="12537" xr:uid="{E6AF073E-601E-42C6-A904-55E79BE54BC4}"/>
    <cellStyle name="Normal 8 4 2 2 2 3" xfId="5283" xr:uid="{00000000-0005-0000-0000-0000D51D0000}"/>
    <cellStyle name="Normal 8 4 2 2 2 3 2" xfId="14609" xr:uid="{A05870FB-83A9-4674-B19B-85006287CF0F}"/>
    <cellStyle name="Normal 8 4 2 2 2 4" xfId="9569" xr:uid="{F21122F8-27BB-4D46-891E-281F736F5353}"/>
    <cellStyle name="Normal 8 4 2 2 2 4 2" xfId="18884" xr:uid="{6B9F3B84-8670-4ACB-9B6F-6475D989EC1E}"/>
    <cellStyle name="Normal 8 4 2 2 2 5" xfId="10392" xr:uid="{9EF708AA-961F-444C-AD85-91EF0FF73E86}"/>
    <cellStyle name="Normal 8 4 2 2 3" xfId="1389" xr:uid="{00000000-0005-0000-0000-0000D61D0000}"/>
    <cellStyle name="Normal 8 4 2 2 3 2" xfId="3619" xr:uid="{00000000-0005-0000-0000-0000D71D0000}"/>
    <cellStyle name="Normal 8 4 2 2 3 2 2" xfId="7841" xr:uid="{00000000-0005-0000-0000-0000D81D0000}"/>
    <cellStyle name="Normal 8 4 2 2 3 2 2 2" xfId="17167" xr:uid="{5924B21E-913C-415D-BECB-608D50245F35}"/>
    <cellStyle name="Normal 8 4 2 2 3 2 3" xfId="12950" xr:uid="{376786E0-4CFC-4659-92B4-A82AEBF094BE}"/>
    <cellStyle name="Normal 8 4 2 2 3 3" xfId="5696" xr:uid="{00000000-0005-0000-0000-0000D91D0000}"/>
    <cellStyle name="Normal 8 4 2 2 3 3 2" xfId="15022" xr:uid="{D0E1564D-6F73-497A-8760-A958ADE59EC9}"/>
    <cellStyle name="Normal 8 4 2 2 3 4" xfId="10805" xr:uid="{C8B96E3E-3699-4D64-8699-18FFB350B38F}"/>
    <cellStyle name="Normal 8 4 2 2 4" xfId="1802" xr:uid="{00000000-0005-0000-0000-0000DA1D0000}"/>
    <cellStyle name="Normal 8 4 2 2 4 2" xfId="4032" xr:uid="{00000000-0005-0000-0000-0000DB1D0000}"/>
    <cellStyle name="Normal 8 4 2 2 4 2 2" xfId="8254" xr:uid="{00000000-0005-0000-0000-0000DC1D0000}"/>
    <cellStyle name="Normal 8 4 2 2 4 2 2 2" xfId="17580" xr:uid="{4743B8AC-F2B7-4630-BACA-04089313A383}"/>
    <cellStyle name="Normal 8 4 2 2 4 2 3" xfId="13363" xr:uid="{A0C2150C-3610-448F-8BC2-DB69081B2E6D}"/>
    <cellStyle name="Normal 8 4 2 2 4 3" xfId="6109" xr:uid="{00000000-0005-0000-0000-0000DD1D0000}"/>
    <cellStyle name="Normal 8 4 2 2 4 3 2" xfId="15435" xr:uid="{490511FB-4BEB-44C6-99CB-9637BFC592DC}"/>
    <cellStyle name="Normal 8 4 2 2 4 4" xfId="11218" xr:uid="{B08908B1-9EC7-4D25-A962-2E50D0FE95CB}"/>
    <cellStyle name="Normal 8 4 2 2 5" xfId="2216" xr:uid="{00000000-0005-0000-0000-0000DE1D0000}"/>
    <cellStyle name="Normal 8 4 2 2 5 2" xfId="4445" xr:uid="{00000000-0005-0000-0000-0000DF1D0000}"/>
    <cellStyle name="Normal 8 4 2 2 5 2 2" xfId="8667" xr:uid="{00000000-0005-0000-0000-0000E01D0000}"/>
    <cellStyle name="Normal 8 4 2 2 5 2 2 2" xfId="17993" xr:uid="{0FB43F2D-5871-4EA4-B274-EBF847767137}"/>
    <cellStyle name="Normal 8 4 2 2 5 2 3" xfId="13776" xr:uid="{4BF80EC1-F481-4384-8FE4-D825C494B98F}"/>
    <cellStyle name="Normal 8 4 2 2 5 3" xfId="6522" xr:uid="{00000000-0005-0000-0000-0000E11D0000}"/>
    <cellStyle name="Normal 8 4 2 2 5 3 2" xfId="15848" xr:uid="{05010350-3943-4D6E-A080-83E636B2D78A}"/>
    <cellStyle name="Normal 8 4 2 2 5 4" xfId="11631" xr:uid="{FD990646-3FB7-4EB7-98F7-5EB332C6C239}"/>
    <cellStyle name="Normal 8 4 2 2 6" xfId="2652" xr:uid="{00000000-0005-0000-0000-0000E21D0000}"/>
    <cellStyle name="Normal 8 4 2 2 6 2" xfId="6935" xr:uid="{00000000-0005-0000-0000-0000E31D0000}"/>
    <cellStyle name="Normal 8 4 2 2 6 2 2" xfId="16261" xr:uid="{947EF72D-FBD2-47F1-AD51-03216D6E05B1}"/>
    <cellStyle name="Normal 8 4 2 2 6 3" xfId="12044" xr:uid="{AAD0CC78-9486-4EBF-971A-A73E6BEB6B1F}"/>
    <cellStyle name="Normal 8 4 2 2 7" xfId="4870" xr:uid="{00000000-0005-0000-0000-0000E41D0000}"/>
    <cellStyle name="Normal 8 4 2 2 7 2" xfId="14196" xr:uid="{4E263FEC-E853-40ED-A282-88F6F51BC432}"/>
    <cellStyle name="Normal 8 4 2 2 8" xfId="9144" xr:uid="{EF6B0978-3DE8-47DC-990C-0B47AAC8F1DC}"/>
    <cellStyle name="Normal 8 4 2 2 8 2" xfId="18468" xr:uid="{9C27C68C-313C-4F48-85EE-6CE6CADDADFC}"/>
    <cellStyle name="Normal 8 4 2 2 9" xfId="9979" xr:uid="{779F31AC-5FC1-4657-A727-E9FD15A32818}"/>
    <cellStyle name="Normal 8 4 2 3" xfId="971" xr:uid="{00000000-0005-0000-0000-0000E51D0000}"/>
    <cellStyle name="Normal 8 4 2 3 2" xfId="3205" xr:uid="{00000000-0005-0000-0000-0000E61D0000}"/>
    <cellStyle name="Normal 8 4 2 3 2 2" xfId="7427" xr:uid="{00000000-0005-0000-0000-0000E71D0000}"/>
    <cellStyle name="Normal 8 4 2 3 2 2 2" xfId="16753" xr:uid="{E63ECDA3-FD58-4016-BCDD-A58D3FE2D757}"/>
    <cellStyle name="Normal 8 4 2 3 2 3" xfId="12536" xr:uid="{FCECCFB5-6569-406F-8935-D6277F343CA8}"/>
    <cellStyle name="Normal 8 4 2 3 3" xfId="5282" xr:uid="{00000000-0005-0000-0000-0000E81D0000}"/>
    <cellStyle name="Normal 8 4 2 3 3 2" xfId="14608" xr:uid="{36F5083A-5F2C-4751-B911-91097B1F618C}"/>
    <cellStyle name="Normal 8 4 2 3 4" xfId="9362" xr:uid="{206856BB-FDDB-4012-ABFE-5E991E477A14}"/>
    <cellStyle name="Normal 8 4 2 3 4 2" xfId="18677" xr:uid="{FD35F80E-C6D6-47AA-A037-0EBA1591FBD2}"/>
    <cellStyle name="Normal 8 4 2 3 5" xfId="10391" xr:uid="{034C8F43-E69E-45E2-906C-05FFE21F23E5}"/>
    <cellStyle name="Normal 8 4 2 4" xfId="1388" xr:uid="{00000000-0005-0000-0000-0000E91D0000}"/>
    <cellStyle name="Normal 8 4 2 4 2" xfId="3618" xr:uid="{00000000-0005-0000-0000-0000EA1D0000}"/>
    <cellStyle name="Normal 8 4 2 4 2 2" xfId="7840" xr:uid="{00000000-0005-0000-0000-0000EB1D0000}"/>
    <cellStyle name="Normal 8 4 2 4 2 2 2" xfId="17166" xr:uid="{A4BBF829-4C6B-45ED-8CC1-F48BE3CAB465}"/>
    <cellStyle name="Normal 8 4 2 4 2 3" xfId="12949" xr:uid="{78B3A4D8-AEEB-4A29-897B-F286B26A867E}"/>
    <cellStyle name="Normal 8 4 2 4 3" xfId="5695" xr:uid="{00000000-0005-0000-0000-0000EC1D0000}"/>
    <cellStyle name="Normal 8 4 2 4 3 2" xfId="15021" xr:uid="{12A60DC2-BDD3-494C-9379-401868FB7E5E}"/>
    <cellStyle name="Normal 8 4 2 4 4" xfId="10804" xr:uid="{02977F4B-4EF6-47C1-9CD0-B907BBA56F04}"/>
    <cellStyle name="Normal 8 4 2 5" xfId="1801" xr:uid="{00000000-0005-0000-0000-0000ED1D0000}"/>
    <cellStyle name="Normal 8 4 2 5 2" xfId="4031" xr:uid="{00000000-0005-0000-0000-0000EE1D0000}"/>
    <cellStyle name="Normal 8 4 2 5 2 2" xfId="8253" xr:uid="{00000000-0005-0000-0000-0000EF1D0000}"/>
    <cellStyle name="Normal 8 4 2 5 2 2 2" xfId="17579" xr:uid="{1E7CD360-8B7A-4B25-9013-3D54E904F132}"/>
    <cellStyle name="Normal 8 4 2 5 2 3" xfId="13362" xr:uid="{6408FB54-E92F-4B67-B477-CC9C1D13AA27}"/>
    <cellStyle name="Normal 8 4 2 5 3" xfId="6108" xr:uid="{00000000-0005-0000-0000-0000F01D0000}"/>
    <cellStyle name="Normal 8 4 2 5 3 2" xfId="15434" xr:uid="{0C65BA3C-F39F-4224-800B-479676719DA2}"/>
    <cellStyle name="Normal 8 4 2 5 4" xfId="11217" xr:uid="{3EA1A27E-BBB5-442A-8672-84826C91FDBF}"/>
    <cellStyle name="Normal 8 4 2 6" xfId="2215" xr:uid="{00000000-0005-0000-0000-0000F11D0000}"/>
    <cellStyle name="Normal 8 4 2 6 2" xfId="4444" xr:uid="{00000000-0005-0000-0000-0000F21D0000}"/>
    <cellStyle name="Normal 8 4 2 6 2 2" xfId="8666" xr:uid="{00000000-0005-0000-0000-0000F31D0000}"/>
    <cellStyle name="Normal 8 4 2 6 2 2 2" xfId="17992" xr:uid="{F5277F3B-CB3B-4B88-A2B9-43B22AFC4A6A}"/>
    <cellStyle name="Normal 8 4 2 6 2 3" xfId="13775" xr:uid="{D7B0AC58-0226-471B-9FC8-68CED6C011E0}"/>
    <cellStyle name="Normal 8 4 2 6 3" xfId="6521" xr:uid="{00000000-0005-0000-0000-0000F41D0000}"/>
    <cellStyle name="Normal 8 4 2 6 3 2" xfId="15847" xr:uid="{0E60C4BA-C1CD-469C-9469-8955CA8E600F}"/>
    <cellStyle name="Normal 8 4 2 6 4" xfId="11630" xr:uid="{CAAA54BA-44B0-4FD1-8E8F-BC9385BCFCA7}"/>
    <cellStyle name="Normal 8 4 2 7" xfId="2651" xr:uid="{00000000-0005-0000-0000-0000F51D0000}"/>
    <cellStyle name="Normal 8 4 2 7 2" xfId="6934" xr:uid="{00000000-0005-0000-0000-0000F61D0000}"/>
    <cellStyle name="Normal 8 4 2 7 2 2" xfId="16260" xr:uid="{C0BEF3B6-BC7A-40DE-A0A1-F2A6C0BCD43F}"/>
    <cellStyle name="Normal 8 4 2 7 3" xfId="12043" xr:uid="{9A80F914-B9F8-4C9D-95BE-3BF585421409}"/>
    <cellStyle name="Normal 8 4 2 8" xfId="4869" xr:uid="{00000000-0005-0000-0000-0000F71D0000}"/>
    <cellStyle name="Normal 8 4 2 8 2" xfId="14195" xr:uid="{4A60C0D7-2A5E-4CB3-B877-A695FFCEB1DC}"/>
    <cellStyle name="Normal 8 4 2 9" xfId="8937" xr:uid="{B425CDA4-C1C1-4A6C-AB85-CE28E324A88F}"/>
    <cellStyle name="Normal 8 4 2 9 2" xfId="18261" xr:uid="{89924010-1495-4EBC-86AE-EBD921107AE0}"/>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2 2 2" xfId="16755" xr:uid="{E9D139F7-18AF-4243-9E62-E3089EF3FB7D}"/>
    <cellStyle name="Normal 8 4 3 2 2 3" xfId="12538" xr:uid="{F0625A6E-B61B-453B-A69C-1B9370DC22E6}"/>
    <cellStyle name="Normal 8 4 3 2 3" xfId="5284" xr:uid="{00000000-0005-0000-0000-0000FC1D0000}"/>
    <cellStyle name="Normal 8 4 3 2 3 2" xfId="14610" xr:uid="{ED2DE8FE-6CF1-402E-ADD3-63B7412FD3AF}"/>
    <cellStyle name="Normal 8 4 3 2 4" xfId="9466" xr:uid="{4C42748F-6D34-4D0D-8AE2-FFD5C0CBE26F}"/>
    <cellStyle name="Normal 8 4 3 2 4 2" xfId="18781" xr:uid="{BD5502BB-73A1-4720-A43C-48F187FC0995}"/>
    <cellStyle name="Normal 8 4 3 2 5" xfId="10393" xr:uid="{B46F0805-8CBC-43C2-81ED-5BCA0832C4F9}"/>
    <cellStyle name="Normal 8 4 3 3" xfId="1390" xr:uid="{00000000-0005-0000-0000-0000FD1D0000}"/>
    <cellStyle name="Normal 8 4 3 3 2" xfId="3620" xr:uid="{00000000-0005-0000-0000-0000FE1D0000}"/>
    <cellStyle name="Normal 8 4 3 3 2 2" xfId="7842" xr:uid="{00000000-0005-0000-0000-0000FF1D0000}"/>
    <cellStyle name="Normal 8 4 3 3 2 2 2" xfId="17168" xr:uid="{C59CFB0B-3124-4143-8C5A-11609A54950C}"/>
    <cellStyle name="Normal 8 4 3 3 2 3" xfId="12951" xr:uid="{4177DF04-FC70-466E-B5F4-B8CB1CA68117}"/>
    <cellStyle name="Normal 8 4 3 3 3" xfId="5697" xr:uid="{00000000-0005-0000-0000-0000001E0000}"/>
    <cellStyle name="Normal 8 4 3 3 3 2" xfId="15023" xr:uid="{31A93FD5-6A24-4E49-B9DA-2630E2D8EB56}"/>
    <cellStyle name="Normal 8 4 3 3 4" xfId="10806" xr:uid="{BE9D9CF8-EC2A-4549-8CDB-89AC65D92DD6}"/>
    <cellStyle name="Normal 8 4 3 4" xfId="1803" xr:uid="{00000000-0005-0000-0000-0000011E0000}"/>
    <cellStyle name="Normal 8 4 3 4 2" xfId="4033" xr:uid="{00000000-0005-0000-0000-0000021E0000}"/>
    <cellStyle name="Normal 8 4 3 4 2 2" xfId="8255" xr:uid="{00000000-0005-0000-0000-0000031E0000}"/>
    <cellStyle name="Normal 8 4 3 4 2 2 2" xfId="17581" xr:uid="{076824F3-DC14-4A0F-A125-D9FF97C4B780}"/>
    <cellStyle name="Normal 8 4 3 4 2 3" xfId="13364" xr:uid="{3A3461C9-0121-47E1-8AF0-573D67452E70}"/>
    <cellStyle name="Normal 8 4 3 4 3" xfId="6110" xr:uid="{00000000-0005-0000-0000-0000041E0000}"/>
    <cellStyle name="Normal 8 4 3 4 3 2" xfId="15436" xr:uid="{65EA5326-A5AE-4B73-9151-9BD33931D239}"/>
    <cellStyle name="Normal 8 4 3 4 4" xfId="11219" xr:uid="{FB3F67FB-0552-4302-A05A-22220E7A4656}"/>
    <cellStyle name="Normal 8 4 3 5" xfId="2217" xr:uid="{00000000-0005-0000-0000-0000051E0000}"/>
    <cellStyle name="Normal 8 4 3 5 2" xfId="4446" xr:uid="{00000000-0005-0000-0000-0000061E0000}"/>
    <cellStyle name="Normal 8 4 3 5 2 2" xfId="8668" xr:uid="{00000000-0005-0000-0000-0000071E0000}"/>
    <cellStyle name="Normal 8 4 3 5 2 2 2" xfId="17994" xr:uid="{E82D80C9-02D5-4D4C-8489-40C6179F9641}"/>
    <cellStyle name="Normal 8 4 3 5 2 3" xfId="13777" xr:uid="{A6B7A7B2-5396-4A12-8497-E8E05801C4CF}"/>
    <cellStyle name="Normal 8 4 3 5 3" xfId="6523" xr:uid="{00000000-0005-0000-0000-0000081E0000}"/>
    <cellStyle name="Normal 8 4 3 5 3 2" xfId="15849" xr:uid="{A9C29E29-EC83-44C5-9E3A-9CADFF56E4AD}"/>
    <cellStyle name="Normal 8 4 3 5 4" xfId="11632" xr:uid="{1787B2D4-7068-4E97-838F-C6BA5A48B2EC}"/>
    <cellStyle name="Normal 8 4 3 6" xfId="2653" xr:uid="{00000000-0005-0000-0000-0000091E0000}"/>
    <cellStyle name="Normal 8 4 3 6 2" xfId="6936" xr:uid="{00000000-0005-0000-0000-00000A1E0000}"/>
    <cellStyle name="Normal 8 4 3 6 2 2" xfId="16262" xr:uid="{3C248244-CCD5-4B9B-A445-0429EDDDBA37}"/>
    <cellStyle name="Normal 8 4 3 6 3" xfId="12045" xr:uid="{F18F707C-447D-4EAB-A9D8-5288C5A2E91C}"/>
    <cellStyle name="Normal 8 4 3 7" xfId="4871" xr:uid="{00000000-0005-0000-0000-00000B1E0000}"/>
    <cellStyle name="Normal 8 4 3 7 2" xfId="14197" xr:uid="{6159B958-1232-487C-8F0B-2EE1F60C84FC}"/>
    <cellStyle name="Normal 8 4 3 8" xfId="9041" xr:uid="{3EA15F1E-D38A-4BB8-BEC6-98D9A94BB79B}"/>
    <cellStyle name="Normal 8 4 3 8 2" xfId="18365" xr:uid="{A5B2FD11-30FC-4C38-85BB-79223625EF4D}"/>
    <cellStyle name="Normal 8 4 3 9" xfId="9980" xr:uid="{85CA4D8E-B5D7-4738-9EA4-917200AE9B28}"/>
    <cellStyle name="Normal 8 4 4" xfId="970" xr:uid="{00000000-0005-0000-0000-00000C1E0000}"/>
    <cellStyle name="Normal 8 4 4 2" xfId="3204" xr:uid="{00000000-0005-0000-0000-00000D1E0000}"/>
    <cellStyle name="Normal 8 4 4 2 2" xfId="7426" xr:uid="{00000000-0005-0000-0000-00000E1E0000}"/>
    <cellStyle name="Normal 8 4 4 2 2 2" xfId="16752" xr:uid="{E8D033E4-F2E4-499B-8E6D-9F9F1E7D5263}"/>
    <cellStyle name="Normal 8 4 4 2 3" xfId="12535" xr:uid="{10F66646-6BB8-4D5D-945C-4D8E040F6FF5}"/>
    <cellStyle name="Normal 8 4 4 3" xfId="5281" xr:uid="{00000000-0005-0000-0000-00000F1E0000}"/>
    <cellStyle name="Normal 8 4 4 3 2" xfId="14607" xr:uid="{18C6CA12-687D-44DE-8B9B-AC744F64DC60}"/>
    <cellStyle name="Normal 8 4 4 4" xfId="9259" xr:uid="{45904BAA-3C39-482B-A2B6-0FB84C0B889C}"/>
    <cellStyle name="Normal 8 4 4 4 2" xfId="18574" xr:uid="{8CB74FEA-186F-4B31-9E8D-FEC9BE483A4A}"/>
    <cellStyle name="Normal 8 4 4 5" xfId="10390" xr:uid="{583AC6B9-5063-433C-B502-103A0A8E8052}"/>
    <cellStyle name="Normal 8 4 5" xfId="1387" xr:uid="{00000000-0005-0000-0000-0000101E0000}"/>
    <cellStyle name="Normal 8 4 5 2" xfId="3617" xr:uid="{00000000-0005-0000-0000-0000111E0000}"/>
    <cellStyle name="Normal 8 4 5 2 2" xfId="7839" xr:uid="{00000000-0005-0000-0000-0000121E0000}"/>
    <cellStyle name="Normal 8 4 5 2 2 2" xfId="17165" xr:uid="{9903840C-9A78-4CC3-A4C4-3BA5D3C1009D}"/>
    <cellStyle name="Normal 8 4 5 2 3" xfId="12948" xr:uid="{4A42D291-055B-4D7A-BE46-8B35ADBC67C1}"/>
    <cellStyle name="Normal 8 4 5 3" xfId="5694" xr:uid="{00000000-0005-0000-0000-0000131E0000}"/>
    <cellStyle name="Normal 8 4 5 3 2" xfId="15020" xr:uid="{EE831D18-AEF2-4484-840D-2012BCDD7EC0}"/>
    <cellStyle name="Normal 8 4 5 4" xfId="10803" xr:uid="{5CBCC5C7-1D4B-4A9C-BDD5-D5E4782812B0}"/>
    <cellStyle name="Normal 8 4 6" xfId="1800" xr:uid="{00000000-0005-0000-0000-0000141E0000}"/>
    <cellStyle name="Normal 8 4 6 2" xfId="4030" xr:uid="{00000000-0005-0000-0000-0000151E0000}"/>
    <cellStyle name="Normal 8 4 6 2 2" xfId="8252" xr:uid="{00000000-0005-0000-0000-0000161E0000}"/>
    <cellStyle name="Normal 8 4 6 2 2 2" xfId="17578" xr:uid="{D34E6AD0-6533-43D1-9EAB-62B626E13C9A}"/>
    <cellStyle name="Normal 8 4 6 2 3" xfId="13361" xr:uid="{08497A2F-04E6-4D2D-83B9-EE0BF175EDFB}"/>
    <cellStyle name="Normal 8 4 6 3" xfId="6107" xr:uid="{00000000-0005-0000-0000-0000171E0000}"/>
    <cellStyle name="Normal 8 4 6 3 2" xfId="15433" xr:uid="{57BF8DB1-D79D-4D0E-8AE9-19425F036F06}"/>
    <cellStyle name="Normal 8 4 6 4" xfId="11216" xr:uid="{CC81B5DC-C356-4747-BFED-57D4C4DEE230}"/>
    <cellStyle name="Normal 8 4 7" xfId="2214" xr:uid="{00000000-0005-0000-0000-0000181E0000}"/>
    <cellStyle name="Normal 8 4 7 2" xfId="4443" xr:uid="{00000000-0005-0000-0000-0000191E0000}"/>
    <cellStyle name="Normal 8 4 7 2 2" xfId="8665" xr:uid="{00000000-0005-0000-0000-00001A1E0000}"/>
    <cellStyle name="Normal 8 4 7 2 2 2" xfId="17991" xr:uid="{4D697B89-301D-4228-9676-0717AA1BAB71}"/>
    <cellStyle name="Normal 8 4 7 2 3" xfId="13774" xr:uid="{84FCDBF7-67AE-43F6-A0D2-AEFCC82F9ED2}"/>
    <cellStyle name="Normal 8 4 7 3" xfId="6520" xr:uid="{00000000-0005-0000-0000-00001B1E0000}"/>
    <cellStyle name="Normal 8 4 7 3 2" xfId="15846" xr:uid="{078C287A-F8CE-4564-A62A-D429487416C9}"/>
    <cellStyle name="Normal 8 4 7 4" xfId="11629" xr:uid="{AA960F51-33C1-4ABB-A5D6-3D2D6AEC0881}"/>
    <cellStyle name="Normal 8 4 8" xfId="2650" xr:uid="{00000000-0005-0000-0000-00001C1E0000}"/>
    <cellStyle name="Normal 8 4 8 2" xfId="6933" xr:uid="{00000000-0005-0000-0000-00001D1E0000}"/>
    <cellStyle name="Normal 8 4 8 2 2" xfId="16259" xr:uid="{BEFC5D9A-5E66-4EDE-95A2-1A7AD41A1B79}"/>
    <cellStyle name="Normal 8 4 8 3" xfId="12042" xr:uid="{636E0A39-EA00-4C36-9C69-DF0A7CC3D131}"/>
    <cellStyle name="Normal 8 4 9" xfId="4868" xr:uid="{00000000-0005-0000-0000-00001E1E0000}"/>
    <cellStyle name="Normal 8 4 9 2" xfId="14194" xr:uid="{F8B72401-4B54-44D8-8FA4-2D182EB32AE4}"/>
    <cellStyle name="Normal 8 5" xfId="507" xr:uid="{00000000-0005-0000-0000-00001F1E0000}"/>
    <cellStyle name="Normal 8 5 10" xfId="9981" xr:uid="{DB8147F3-A1A4-4F77-8B55-91276DA0A6E5}"/>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2 2 2" xfId="16757" xr:uid="{B132770B-64A8-44D3-AEBB-8C85F92934AB}"/>
    <cellStyle name="Normal 8 5 2 2 2 3" xfId="12540" xr:uid="{931C4E80-2B5A-4F39-8FFC-9F27D12DF88D}"/>
    <cellStyle name="Normal 8 5 2 2 3" xfId="5286" xr:uid="{00000000-0005-0000-0000-0000241E0000}"/>
    <cellStyle name="Normal 8 5 2 2 3 2" xfId="14612" xr:uid="{F97E7787-15F9-4308-BF91-853FE6EF199A}"/>
    <cellStyle name="Normal 8 5 2 2 4" xfId="9477" xr:uid="{62ED1F43-6081-4B0B-94C3-5999D37D11C7}"/>
    <cellStyle name="Normal 8 5 2 2 4 2" xfId="18792" xr:uid="{7CD6B3F8-7CBB-4E7F-8F4A-43EFB48DA762}"/>
    <cellStyle name="Normal 8 5 2 2 5" xfId="10395" xr:uid="{9DB2465F-8FA8-4A6F-B51F-DB5623658038}"/>
    <cellStyle name="Normal 8 5 2 3" xfId="1392" xr:uid="{00000000-0005-0000-0000-0000251E0000}"/>
    <cellStyle name="Normal 8 5 2 3 2" xfId="3622" xr:uid="{00000000-0005-0000-0000-0000261E0000}"/>
    <cellStyle name="Normal 8 5 2 3 2 2" xfId="7844" xr:uid="{00000000-0005-0000-0000-0000271E0000}"/>
    <cellStyle name="Normal 8 5 2 3 2 2 2" xfId="17170" xr:uid="{2B8280FA-2491-4F3E-93BE-38F1E6E3B955}"/>
    <cellStyle name="Normal 8 5 2 3 2 3" xfId="12953" xr:uid="{ED58B4BA-C424-4DA2-AFB0-4D0288D5B885}"/>
    <cellStyle name="Normal 8 5 2 3 3" xfId="5699" xr:uid="{00000000-0005-0000-0000-0000281E0000}"/>
    <cellStyle name="Normal 8 5 2 3 3 2" xfId="15025" xr:uid="{7D6FB4F0-EF9B-4FAE-BB10-8E1709B2C73B}"/>
    <cellStyle name="Normal 8 5 2 3 4" xfId="10808" xr:uid="{E5C49B47-4733-4DFD-A22C-23C0D145EC7D}"/>
    <cellStyle name="Normal 8 5 2 4" xfId="1805" xr:uid="{00000000-0005-0000-0000-0000291E0000}"/>
    <cellStyle name="Normal 8 5 2 4 2" xfId="4035" xr:uid="{00000000-0005-0000-0000-00002A1E0000}"/>
    <cellStyle name="Normal 8 5 2 4 2 2" xfId="8257" xr:uid="{00000000-0005-0000-0000-00002B1E0000}"/>
    <cellStyle name="Normal 8 5 2 4 2 2 2" xfId="17583" xr:uid="{A399C100-E273-403D-AC47-7B8B184F9891}"/>
    <cellStyle name="Normal 8 5 2 4 2 3" xfId="13366" xr:uid="{A05A2090-D404-4AEB-AF3F-A0FCD2881F19}"/>
    <cellStyle name="Normal 8 5 2 4 3" xfId="6112" xr:uid="{00000000-0005-0000-0000-00002C1E0000}"/>
    <cellStyle name="Normal 8 5 2 4 3 2" xfId="15438" xr:uid="{40A9834D-AEF1-4511-944E-01BE14E2F405}"/>
    <cellStyle name="Normal 8 5 2 4 4" xfId="11221" xr:uid="{48B02AA1-8C4E-47E1-9DA7-E5675AA1CF3B}"/>
    <cellStyle name="Normal 8 5 2 5" xfId="2219" xr:uid="{00000000-0005-0000-0000-00002D1E0000}"/>
    <cellStyle name="Normal 8 5 2 5 2" xfId="4448" xr:uid="{00000000-0005-0000-0000-00002E1E0000}"/>
    <cellStyle name="Normal 8 5 2 5 2 2" xfId="8670" xr:uid="{00000000-0005-0000-0000-00002F1E0000}"/>
    <cellStyle name="Normal 8 5 2 5 2 2 2" xfId="17996" xr:uid="{553A2982-AA57-4D1B-84AF-966E16142BFA}"/>
    <cellStyle name="Normal 8 5 2 5 2 3" xfId="13779" xr:uid="{FCA0F9EB-1635-477E-A345-C7EBF4C6741C}"/>
    <cellStyle name="Normal 8 5 2 5 3" xfId="6525" xr:uid="{00000000-0005-0000-0000-0000301E0000}"/>
    <cellStyle name="Normal 8 5 2 5 3 2" xfId="15851" xr:uid="{776464CF-2DA8-4958-BA34-F0559675882B}"/>
    <cellStyle name="Normal 8 5 2 5 4" xfId="11634" xr:uid="{B57A2E57-82B1-4E2F-BBE9-AC299E07AE2B}"/>
    <cellStyle name="Normal 8 5 2 6" xfId="2655" xr:uid="{00000000-0005-0000-0000-0000311E0000}"/>
    <cellStyle name="Normal 8 5 2 6 2" xfId="6938" xr:uid="{00000000-0005-0000-0000-0000321E0000}"/>
    <cellStyle name="Normal 8 5 2 6 2 2" xfId="16264" xr:uid="{6DABD983-DF0E-40E7-A19A-3F8974D9DD35}"/>
    <cellStyle name="Normal 8 5 2 6 3" xfId="12047" xr:uid="{AE73B8B3-14A3-4747-A060-CA628BB9D406}"/>
    <cellStyle name="Normal 8 5 2 7" xfId="4873" xr:uid="{00000000-0005-0000-0000-0000331E0000}"/>
    <cellStyle name="Normal 8 5 2 7 2" xfId="14199" xr:uid="{A173D4BB-0BE8-4E8D-80DE-D845FEFDA5B4}"/>
    <cellStyle name="Normal 8 5 2 8" xfId="9052" xr:uid="{D754D15A-EECE-4975-9542-AF3C340304E3}"/>
    <cellStyle name="Normal 8 5 2 8 2" xfId="18376" xr:uid="{E090DF6A-FEB0-42BB-8AFC-8A7E5733AB9A}"/>
    <cellStyle name="Normal 8 5 2 9" xfId="9982" xr:uid="{34F45CA7-39A5-4012-A1EC-85989EB234E5}"/>
    <cellStyle name="Normal 8 5 3" xfId="974" xr:uid="{00000000-0005-0000-0000-0000341E0000}"/>
    <cellStyle name="Normal 8 5 3 2" xfId="3208" xr:uid="{00000000-0005-0000-0000-0000351E0000}"/>
    <cellStyle name="Normal 8 5 3 2 2" xfId="7430" xr:uid="{00000000-0005-0000-0000-0000361E0000}"/>
    <cellStyle name="Normal 8 5 3 2 2 2" xfId="16756" xr:uid="{671FC252-1A3B-4C89-9312-7A4F6611B388}"/>
    <cellStyle name="Normal 8 5 3 2 3" xfId="12539" xr:uid="{DED009C0-43E9-41C3-9446-FDC1A3335BAD}"/>
    <cellStyle name="Normal 8 5 3 3" xfId="5285" xr:uid="{00000000-0005-0000-0000-0000371E0000}"/>
    <cellStyle name="Normal 8 5 3 3 2" xfId="14611" xr:uid="{60B88B8B-9068-4001-A0BF-1B60781AF0AD}"/>
    <cellStyle name="Normal 8 5 3 4" xfId="9270" xr:uid="{88F9D262-71F2-4DD2-A7F6-B0DCE74ABD45}"/>
    <cellStyle name="Normal 8 5 3 4 2" xfId="18585" xr:uid="{90EF9123-643A-436A-8075-0847E25C9591}"/>
    <cellStyle name="Normal 8 5 3 5" xfId="10394" xr:uid="{9675ADC0-948F-4BDD-BE23-741F981024CB}"/>
    <cellStyle name="Normal 8 5 4" xfId="1391" xr:uid="{00000000-0005-0000-0000-0000381E0000}"/>
    <cellStyle name="Normal 8 5 4 2" xfId="3621" xr:uid="{00000000-0005-0000-0000-0000391E0000}"/>
    <cellStyle name="Normal 8 5 4 2 2" xfId="7843" xr:uid="{00000000-0005-0000-0000-00003A1E0000}"/>
    <cellStyle name="Normal 8 5 4 2 2 2" xfId="17169" xr:uid="{E3C8F050-CE8A-41EC-A71E-1C6C314D294C}"/>
    <cellStyle name="Normal 8 5 4 2 3" xfId="12952" xr:uid="{C9B26C93-B1DD-43B9-AC7C-77818295AAC9}"/>
    <cellStyle name="Normal 8 5 4 3" xfId="5698" xr:uid="{00000000-0005-0000-0000-00003B1E0000}"/>
    <cellStyle name="Normal 8 5 4 3 2" xfId="15024" xr:uid="{65C57E68-D745-4BA7-AC34-3D72206B6F4C}"/>
    <cellStyle name="Normal 8 5 4 4" xfId="10807" xr:uid="{2F1747AB-A40B-4F89-BC74-D0C34A30C5E0}"/>
    <cellStyle name="Normal 8 5 5" xfId="1804" xr:uid="{00000000-0005-0000-0000-00003C1E0000}"/>
    <cellStyle name="Normal 8 5 5 2" xfId="4034" xr:uid="{00000000-0005-0000-0000-00003D1E0000}"/>
    <cellStyle name="Normal 8 5 5 2 2" xfId="8256" xr:uid="{00000000-0005-0000-0000-00003E1E0000}"/>
    <cellStyle name="Normal 8 5 5 2 2 2" xfId="17582" xr:uid="{8A86C74E-C8B9-4D25-8742-C22EDB0EB6E5}"/>
    <cellStyle name="Normal 8 5 5 2 3" xfId="13365" xr:uid="{6E8D73BB-E340-46E8-8134-B95D662C93A6}"/>
    <cellStyle name="Normal 8 5 5 3" xfId="6111" xr:uid="{00000000-0005-0000-0000-00003F1E0000}"/>
    <cellStyle name="Normal 8 5 5 3 2" xfId="15437" xr:uid="{740D6E19-0E86-4E48-AD83-836871FFD8D4}"/>
    <cellStyle name="Normal 8 5 5 4" xfId="11220" xr:uid="{BDC4AF83-B935-4234-86B5-B3FFBD2213AF}"/>
    <cellStyle name="Normal 8 5 6" xfId="2218" xr:uid="{00000000-0005-0000-0000-0000401E0000}"/>
    <cellStyle name="Normal 8 5 6 2" xfId="4447" xr:uid="{00000000-0005-0000-0000-0000411E0000}"/>
    <cellStyle name="Normal 8 5 6 2 2" xfId="8669" xr:uid="{00000000-0005-0000-0000-0000421E0000}"/>
    <cellStyle name="Normal 8 5 6 2 2 2" xfId="17995" xr:uid="{910AE72F-761E-4658-A9D6-21E4C5D7BAEB}"/>
    <cellStyle name="Normal 8 5 6 2 3" xfId="13778" xr:uid="{357DFA7B-D988-426F-B869-E4FE4271BE5F}"/>
    <cellStyle name="Normal 8 5 6 3" xfId="6524" xr:uid="{00000000-0005-0000-0000-0000431E0000}"/>
    <cellStyle name="Normal 8 5 6 3 2" xfId="15850" xr:uid="{0F64A058-D1FD-475D-87A2-3D77757395B0}"/>
    <cellStyle name="Normal 8 5 6 4" xfId="11633" xr:uid="{29E63880-4FD6-460E-9C82-F7DA25908865}"/>
    <cellStyle name="Normal 8 5 7" xfId="2654" xr:uid="{00000000-0005-0000-0000-0000441E0000}"/>
    <cellStyle name="Normal 8 5 7 2" xfId="6937" xr:uid="{00000000-0005-0000-0000-0000451E0000}"/>
    <cellStyle name="Normal 8 5 7 2 2" xfId="16263" xr:uid="{EF0689E2-3848-4F0F-A23C-AD05A749FE92}"/>
    <cellStyle name="Normal 8 5 7 3" xfId="12046" xr:uid="{694754F6-9170-49D5-96DE-0C4202C89D07}"/>
    <cellStyle name="Normal 8 5 8" xfId="4872" xr:uid="{00000000-0005-0000-0000-0000461E0000}"/>
    <cellStyle name="Normal 8 5 8 2" xfId="14198" xr:uid="{2FB4A187-1D65-4EAF-B68D-2560B4E75E22}"/>
    <cellStyle name="Normal 8 5 9" xfId="8845" xr:uid="{C8167C67-59BC-42DE-816D-718433EFB28C}"/>
    <cellStyle name="Normal 8 5 9 2" xfId="18169" xr:uid="{E46E7ED5-B686-4F58-8AC5-4CAE834F8FD9}"/>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2 2 2" xfId="16758" xr:uid="{7AEB86B2-4766-44BB-BA5C-91B4D13EFCC2}"/>
    <cellStyle name="Normal 8 6 2 2 3" xfId="12541" xr:uid="{3A9508E2-A883-4E6A-9B19-1D894F87ECE4}"/>
    <cellStyle name="Normal 8 6 2 3" xfId="5287" xr:uid="{00000000-0005-0000-0000-00004B1E0000}"/>
    <cellStyle name="Normal 8 6 2 3 2" xfId="14613" xr:uid="{C9F6F9E5-F8C0-4B62-A15F-05176BDDDE0F}"/>
    <cellStyle name="Normal 8 6 2 4" xfId="9386" xr:uid="{45A5CE0D-B006-45BB-A53E-22B23F4367E3}"/>
    <cellStyle name="Normal 8 6 2 4 2" xfId="18701" xr:uid="{EDE53E21-E16E-4831-A5DB-0DE69EB436E4}"/>
    <cellStyle name="Normal 8 6 2 5" xfId="10396" xr:uid="{05531D2F-61C9-483D-B3D7-A081D1B493F8}"/>
    <cellStyle name="Normal 8 6 3" xfId="1393" xr:uid="{00000000-0005-0000-0000-00004C1E0000}"/>
    <cellStyle name="Normal 8 6 3 2" xfId="3623" xr:uid="{00000000-0005-0000-0000-00004D1E0000}"/>
    <cellStyle name="Normal 8 6 3 2 2" xfId="7845" xr:uid="{00000000-0005-0000-0000-00004E1E0000}"/>
    <cellStyle name="Normal 8 6 3 2 2 2" xfId="17171" xr:uid="{F2BDF258-A7A7-4F32-AE55-71FBBDD4977A}"/>
    <cellStyle name="Normal 8 6 3 2 3" xfId="12954" xr:uid="{A9BE30E1-4C35-4488-9413-5455C09FB121}"/>
    <cellStyle name="Normal 8 6 3 3" xfId="5700" xr:uid="{00000000-0005-0000-0000-00004F1E0000}"/>
    <cellStyle name="Normal 8 6 3 3 2" xfId="15026" xr:uid="{4D4F3A05-0CAE-49F6-8B18-2CB2FDEE6C3F}"/>
    <cellStyle name="Normal 8 6 3 4" xfId="10809" xr:uid="{1CAC5972-793C-4FE8-9907-E93D03A403EA}"/>
    <cellStyle name="Normal 8 6 4" xfId="1806" xr:uid="{00000000-0005-0000-0000-0000501E0000}"/>
    <cellStyle name="Normal 8 6 4 2" xfId="4036" xr:uid="{00000000-0005-0000-0000-0000511E0000}"/>
    <cellStyle name="Normal 8 6 4 2 2" xfId="8258" xr:uid="{00000000-0005-0000-0000-0000521E0000}"/>
    <cellStyle name="Normal 8 6 4 2 2 2" xfId="17584" xr:uid="{64C59E95-C2D0-4FA6-96C8-A2CB83C27311}"/>
    <cellStyle name="Normal 8 6 4 2 3" xfId="13367" xr:uid="{DF23B0CA-5F6F-4326-A6C1-A80B4A67E573}"/>
    <cellStyle name="Normal 8 6 4 3" xfId="6113" xr:uid="{00000000-0005-0000-0000-0000531E0000}"/>
    <cellStyle name="Normal 8 6 4 3 2" xfId="15439" xr:uid="{992A8D57-9268-43C9-A887-5B0C7BA7D070}"/>
    <cellStyle name="Normal 8 6 4 4" xfId="11222" xr:uid="{1B878A88-0F4D-4940-B6DF-399055EFDB18}"/>
    <cellStyle name="Normal 8 6 5" xfId="2220" xr:uid="{00000000-0005-0000-0000-0000541E0000}"/>
    <cellStyle name="Normal 8 6 5 2" xfId="4449" xr:uid="{00000000-0005-0000-0000-0000551E0000}"/>
    <cellStyle name="Normal 8 6 5 2 2" xfId="8671" xr:uid="{00000000-0005-0000-0000-0000561E0000}"/>
    <cellStyle name="Normal 8 6 5 2 2 2" xfId="17997" xr:uid="{BD8E311E-47FC-4FED-B5E8-EC4D13712ADC}"/>
    <cellStyle name="Normal 8 6 5 2 3" xfId="13780" xr:uid="{F1A4F845-3D8F-4016-AFDA-42580CC147B6}"/>
    <cellStyle name="Normal 8 6 5 3" xfId="6526" xr:uid="{00000000-0005-0000-0000-0000571E0000}"/>
    <cellStyle name="Normal 8 6 5 3 2" xfId="15852" xr:uid="{ACF46031-86B8-4A75-AA7A-075CD1B0C13D}"/>
    <cellStyle name="Normal 8 6 5 4" xfId="11635" xr:uid="{8E07AE46-8CE2-4179-8916-B20EB37F4853}"/>
    <cellStyle name="Normal 8 6 6" xfId="2656" xr:uid="{00000000-0005-0000-0000-0000581E0000}"/>
    <cellStyle name="Normal 8 6 6 2" xfId="6939" xr:uid="{00000000-0005-0000-0000-0000591E0000}"/>
    <cellStyle name="Normal 8 6 6 2 2" xfId="16265" xr:uid="{237D82FC-E8C5-453F-9DA9-D01C9C525C2A}"/>
    <cellStyle name="Normal 8 6 6 3" xfId="12048" xr:uid="{1D1ED2AE-6072-4965-8BA6-9887476247C1}"/>
    <cellStyle name="Normal 8 6 7" xfId="4874" xr:uid="{00000000-0005-0000-0000-00005A1E0000}"/>
    <cellStyle name="Normal 8 6 7 2" xfId="14200" xr:uid="{74A4AB9A-3145-4AF2-B953-10B0F355D40F}"/>
    <cellStyle name="Normal 8 6 8" xfId="8961" xr:uid="{36060843-7B38-46C3-B2F1-7172ECB11EEE}"/>
    <cellStyle name="Normal 8 6 8 2" xfId="18285" xr:uid="{81E6DCDB-06E3-48CB-917D-B8CBE6C5FF28}"/>
    <cellStyle name="Normal 8 6 9" xfId="9983" xr:uid="{FAF809A4-14FF-4380-9FD1-5C023F51F85F}"/>
    <cellStyle name="Normal 8 7" xfId="945" xr:uid="{00000000-0005-0000-0000-00005B1E0000}"/>
    <cellStyle name="Normal 8 7 2" xfId="3179" xr:uid="{00000000-0005-0000-0000-00005C1E0000}"/>
    <cellStyle name="Normal 8 7 2 2" xfId="7401" xr:uid="{00000000-0005-0000-0000-00005D1E0000}"/>
    <cellStyle name="Normal 8 7 2 2 2" xfId="16727" xr:uid="{AB887A92-9BC6-42DC-97FD-6AA1179618F4}"/>
    <cellStyle name="Normal 8 7 2 3" xfId="12510" xr:uid="{B34EADBE-0992-4D5B-BFF0-B6433EB118F8}"/>
    <cellStyle name="Normal 8 7 3" xfId="5256" xr:uid="{00000000-0005-0000-0000-00005E1E0000}"/>
    <cellStyle name="Normal 8 7 3 2" xfId="14582" xr:uid="{1C3F4D1C-83C5-406A-8F94-1FFFC9376140}"/>
    <cellStyle name="Normal 8 7 4" xfId="9164" xr:uid="{EA2ADDDA-E9AC-4FF8-B08B-61B1D6489A46}"/>
    <cellStyle name="Normal 8 7 4 2" xfId="18482" xr:uid="{62C34118-7D72-4D8C-83EB-80DE3FA3EE53}"/>
    <cellStyle name="Normal 8 7 5" xfId="10365" xr:uid="{8E19B359-DD5B-41AF-B4C3-207B3A1FD281}"/>
    <cellStyle name="Normal 8 8" xfId="1362" xr:uid="{00000000-0005-0000-0000-00005F1E0000}"/>
    <cellStyle name="Normal 8 8 2" xfId="3592" xr:uid="{00000000-0005-0000-0000-0000601E0000}"/>
    <cellStyle name="Normal 8 8 2 2" xfId="7814" xr:uid="{00000000-0005-0000-0000-0000611E0000}"/>
    <cellStyle name="Normal 8 8 2 2 2" xfId="17140" xr:uid="{CB3ADAE6-C783-4F42-A082-D0C7AB15A1A3}"/>
    <cellStyle name="Normal 8 8 2 3" xfId="12923" xr:uid="{AAD10CCF-ADCB-4F6C-9774-D402980F02B2}"/>
    <cellStyle name="Normal 8 8 3" xfId="5669" xr:uid="{00000000-0005-0000-0000-0000621E0000}"/>
    <cellStyle name="Normal 8 8 3 2" xfId="14995" xr:uid="{A6149124-257E-45E4-A144-94F52B79E1C1}"/>
    <cellStyle name="Normal 8 8 4" xfId="10778" xr:uid="{13F3CDAE-371F-447F-B93C-77C0C9A1525B}"/>
    <cellStyle name="Normal 8 9" xfId="1775" xr:uid="{00000000-0005-0000-0000-0000631E0000}"/>
    <cellStyle name="Normal 8 9 2" xfId="4005" xr:uid="{00000000-0005-0000-0000-0000641E0000}"/>
    <cellStyle name="Normal 8 9 2 2" xfId="8227" xr:uid="{00000000-0005-0000-0000-0000651E0000}"/>
    <cellStyle name="Normal 8 9 2 2 2" xfId="17553" xr:uid="{25BD28F6-748C-482E-8E6C-78E89832192A}"/>
    <cellStyle name="Normal 8 9 2 3" xfId="13336" xr:uid="{38EE0EB6-3075-4A71-9CB2-89C0D2E1D275}"/>
    <cellStyle name="Normal 8 9 3" xfId="6082" xr:uid="{00000000-0005-0000-0000-0000661E0000}"/>
    <cellStyle name="Normal 8 9 3 2" xfId="15408" xr:uid="{79E2762E-98E3-49EF-A006-D6E7EABC8888}"/>
    <cellStyle name="Normal 8 9 4" xfId="11191" xr:uid="{F7A363F0-FDF2-47F1-9D66-8A7BE7549F4D}"/>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0 2 2" xfId="16266" xr:uid="{4D0B0E0F-52A4-4690-B17A-2DEC54FAEC81}"/>
    <cellStyle name="Normal 9 2 10 3" xfId="12049" xr:uid="{53AF3979-A92A-49C2-B12F-2C255F1E7BDF}"/>
    <cellStyle name="Normal 9 2 11" xfId="4875" xr:uid="{00000000-0005-0000-0000-00006B1E0000}"/>
    <cellStyle name="Normal 9 2 11 2" xfId="14201" xr:uid="{66104A5B-38F5-480D-AC00-C9CEC7AADBB3}"/>
    <cellStyle name="Normal 9 2 12" xfId="8754" xr:uid="{9024D06A-4C5F-4C89-BCDB-29B8C924FF52}"/>
    <cellStyle name="Normal 9 2 12 2" xfId="18078" xr:uid="{0A84D9EA-4617-4324-B0C0-017D7D9837A8}"/>
    <cellStyle name="Normal 9 2 13" xfId="9984" xr:uid="{BD4CBB4A-1270-4093-BE28-33DB7F7DFC0D}"/>
    <cellStyle name="Normal 9 2 2" xfId="512" xr:uid="{00000000-0005-0000-0000-00006C1E0000}"/>
    <cellStyle name="Normal 9 2 2 10" xfId="4876" xr:uid="{00000000-0005-0000-0000-00006D1E0000}"/>
    <cellStyle name="Normal 9 2 2 10 2" xfId="14202" xr:uid="{921D1A8A-3B53-4608-9481-7A609E1A7DAB}"/>
    <cellStyle name="Normal 9 2 2 11" xfId="8785" xr:uid="{3048542E-ED39-45ED-9C91-0140D2CF60D9}"/>
    <cellStyle name="Normal 9 2 2 11 2" xfId="18109" xr:uid="{C8C28C84-4BC1-41E0-B3E4-A7DAC3601269}"/>
    <cellStyle name="Normal 9 2 2 12" xfId="9985" xr:uid="{47BB4C06-F73E-4F48-8F2B-FFB09BABAD51}"/>
    <cellStyle name="Normal 9 2 2 2" xfId="513" xr:uid="{00000000-0005-0000-0000-00006E1E0000}"/>
    <cellStyle name="Normal 9 2 2 2 10" xfId="8839" xr:uid="{3B2DC7F4-4F49-4AE2-9279-EFD4857A149B}"/>
    <cellStyle name="Normal 9 2 2 2 10 2" xfId="18163" xr:uid="{77C09098-8CE6-4345-ABE0-AFBBA7110B3E}"/>
    <cellStyle name="Normal 9 2 2 2 11" xfId="9986" xr:uid="{810F1978-CBE0-40FC-B035-32A122C9E31D}"/>
    <cellStyle name="Normal 9 2 2 2 2" xfId="514" xr:uid="{00000000-0005-0000-0000-00006F1E0000}"/>
    <cellStyle name="Normal 9 2 2 2 2 10" xfId="9987" xr:uid="{212181F0-C94B-4374-B723-900682EA4A4E}"/>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2 2 2" xfId="16763" xr:uid="{DF33114F-B07E-4C7C-B56C-06294CC941E0}"/>
    <cellStyle name="Normal 9 2 2 2 2 2 2 2 3" xfId="12546" xr:uid="{ADE4DED6-24BF-4469-BDF9-3AC6C9134CA5}"/>
    <cellStyle name="Normal 9 2 2 2 2 2 2 3" xfId="5292" xr:uid="{00000000-0005-0000-0000-0000741E0000}"/>
    <cellStyle name="Normal 9 2 2 2 2 2 2 3 2" xfId="14618" xr:uid="{8D1176B4-9E95-4903-B56F-6D9C3E18E187}"/>
    <cellStyle name="Normal 9 2 2 2 2 2 2 4" xfId="9574" xr:uid="{00EB170D-8A20-4280-B781-E452C3590555}"/>
    <cellStyle name="Normal 9 2 2 2 2 2 2 4 2" xfId="18889" xr:uid="{B7E26964-2578-4E32-9234-856C80000358}"/>
    <cellStyle name="Normal 9 2 2 2 2 2 2 5" xfId="10401" xr:uid="{B2761576-350E-4A7C-8F6F-51ECD84E4F79}"/>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2 2 2" xfId="17176" xr:uid="{F46733E2-BED5-46FE-8365-D0B6603D0D3A}"/>
    <cellStyle name="Normal 9 2 2 2 2 2 3 2 3" xfId="12959" xr:uid="{9ED12584-9341-4086-8D05-B4823CAD4721}"/>
    <cellStyle name="Normal 9 2 2 2 2 2 3 3" xfId="5705" xr:uid="{00000000-0005-0000-0000-0000781E0000}"/>
    <cellStyle name="Normal 9 2 2 2 2 2 3 3 2" xfId="15031" xr:uid="{E7513EE2-784F-4CE3-8F49-9A9A63382F8C}"/>
    <cellStyle name="Normal 9 2 2 2 2 2 3 4" xfId="10814" xr:uid="{702C5678-E163-4F97-B02B-314F061BDFB7}"/>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2 2 2" xfId="17589" xr:uid="{1BCF819F-7E96-4C44-BF00-8392458655F6}"/>
    <cellStyle name="Normal 9 2 2 2 2 2 4 2 3" xfId="13372" xr:uid="{26FC12D9-7AF5-45E2-ABAC-91A4F9D083C2}"/>
    <cellStyle name="Normal 9 2 2 2 2 2 4 3" xfId="6118" xr:uid="{00000000-0005-0000-0000-00007C1E0000}"/>
    <cellStyle name="Normal 9 2 2 2 2 2 4 3 2" xfId="15444" xr:uid="{3148B077-2301-49BE-A57E-021A6EA1BCD6}"/>
    <cellStyle name="Normal 9 2 2 2 2 2 4 4" xfId="11227" xr:uid="{CEBCDB2E-6FBD-4993-ABCA-D199B79FD733}"/>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2 2 2" xfId="18002" xr:uid="{7D581D88-5737-4D9B-969A-2E73E0F57C21}"/>
    <cellStyle name="Normal 9 2 2 2 2 2 5 2 3" xfId="13785" xr:uid="{7E3D3B69-D733-4494-9626-905B21CD1D66}"/>
    <cellStyle name="Normal 9 2 2 2 2 2 5 3" xfId="6531" xr:uid="{00000000-0005-0000-0000-0000801E0000}"/>
    <cellStyle name="Normal 9 2 2 2 2 2 5 3 2" xfId="15857" xr:uid="{EA44569F-E5E9-494A-A3A7-D1E6828E6115}"/>
    <cellStyle name="Normal 9 2 2 2 2 2 5 4" xfId="11640" xr:uid="{2A0DB8C9-7386-438D-86F1-401B51E293BE}"/>
    <cellStyle name="Normal 9 2 2 2 2 2 6" xfId="2661" xr:uid="{00000000-0005-0000-0000-0000811E0000}"/>
    <cellStyle name="Normal 9 2 2 2 2 2 6 2" xfId="6944" xr:uid="{00000000-0005-0000-0000-0000821E0000}"/>
    <cellStyle name="Normal 9 2 2 2 2 2 6 2 2" xfId="16270" xr:uid="{B4673B14-9049-4B13-8ADD-794D01520010}"/>
    <cellStyle name="Normal 9 2 2 2 2 2 6 3" xfId="12053" xr:uid="{054461AE-CB5D-4A65-B90C-4B7FF8BD0777}"/>
    <cellStyle name="Normal 9 2 2 2 2 2 7" xfId="4879" xr:uid="{00000000-0005-0000-0000-0000831E0000}"/>
    <cellStyle name="Normal 9 2 2 2 2 2 7 2" xfId="14205" xr:uid="{1F3ED3E7-B76C-400D-949F-9C500CFA94BC}"/>
    <cellStyle name="Normal 9 2 2 2 2 2 8" xfId="9149" xr:uid="{6C0BEC1E-EE3B-4956-830C-8775C93DB46A}"/>
    <cellStyle name="Normal 9 2 2 2 2 2 8 2" xfId="18473" xr:uid="{BFA55B7C-1101-4FEB-AEAA-1A45708AE1F7}"/>
    <cellStyle name="Normal 9 2 2 2 2 2 9" xfId="9988" xr:uid="{14DC3C78-635D-4CD2-A59D-D23AA5CB0B41}"/>
    <cellStyle name="Normal 9 2 2 2 2 3" xfId="981" xr:uid="{00000000-0005-0000-0000-0000841E0000}"/>
    <cellStyle name="Normal 9 2 2 2 2 3 2" xfId="3214" xr:uid="{00000000-0005-0000-0000-0000851E0000}"/>
    <cellStyle name="Normal 9 2 2 2 2 3 2 2" xfId="7436" xr:uid="{00000000-0005-0000-0000-0000861E0000}"/>
    <cellStyle name="Normal 9 2 2 2 2 3 2 2 2" xfId="16762" xr:uid="{FEB17F73-838C-48C6-9E41-EFBFCDB12E78}"/>
    <cellStyle name="Normal 9 2 2 2 2 3 2 3" xfId="12545" xr:uid="{1E66AFED-FB78-45A3-8471-CC5228C7921B}"/>
    <cellStyle name="Normal 9 2 2 2 2 3 3" xfId="5291" xr:uid="{00000000-0005-0000-0000-0000871E0000}"/>
    <cellStyle name="Normal 9 2 2 2 2 3 3 2" xfId="14617" xr:uid="{8EED0C17-5169-47C4-8CA4-37BE5D4C2E8A}"/>
    <cellStyle name="Normal 9 2 2 2 2 3 4" xfId="9367" xr:uid="{4A654E22-020A-4B0F-8753-639C44EA908A}"/>
    <cellStyle name="Normal 9 2 2 2 2 3 4 2" xfId="18682" xr:uid="{C2ACEE5D-BF02-480A-9FD9-F2F6DF1D4940}"/>
    <cellStyle name="Normal 9 2 2 2 2 3 5" xfId="10400" xr:uid="{7EC0A0AA-04DE-4C0F-A516-8F5ECD376AA3}"/>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2 2 2" xfId="17175" xr:uid="{094FC02A-9E1F-44FF-90C9-28906C226813}"/>
    <cellStyle name="Normal 9 2 2 2 2 4 2 3" xfId="12958" xr:uid="{B5EC4A10-07A9-4BD9-BCD5-1FA11157E1F5}"/>
    <cellStyle name="Normal 9 2 2 2 2 4 3" xfId="5704" xr:uid="{00000000-0005-0000-0000-00008B1E0000}"/>
    <cellStyle name="Normal 9 2 2 2 2 4 3 2" xfId="15030" xr:uid="{C1170981-49C1-4DFA-BB0C-C302EE43277B}"/>
    <cellStyle name="Normal 9 2 2 2 2 4 4" xfId="10813" xr:uid="{CE64B889-FC0B-40C3-92FE-99388BEF2D43}"/>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2 2 2" xfId="17588" xr:uid="{97B7343B-85F0-4E82-A4B5-CE94832B9D32}"/>
    <cellStyle name="Normal 9 2 2 2 2 5 2 3" xfId="13371" xr:uid="{556A9F1F-F662-41B0-A357-E1DD96B118F4}"/>
    <cellStyle name="Normal 9 2 2 2 2 5 3" xfId="6117" xr:uid="{00000000-0005-0000-0000-00008F1E0000}"/>
    <cellStyle name="Normal 9 2 2 2 2 5 3 2" xfId="15443" xr:uid="{52AFB1BF-11C5-4F46-B460-0F0613C97264}"/>
    <cellStyle name="Normal 9 2 2 2 2 5 4" xfId="11226" xr:uid="{8473C5B3-1A5E-4923-AC98-13D29DDE7D05}"/>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2 2 2" xfId="18001" xr:uid="{D390A6A8-E276-413C-BC49-6B60C5C7EE7E}"/>
    <cellStyle name="Normal 9 2 2 2 2 6 2 3" xfId="13784" xr:uid="{6EF083FB-3B87-4AAC-9881-23279E079E38}"/>
    <cellStyle name="Normal 9 2 2 2 2 6 3" xfId="6530" xr:uid="{00000000-0005-0000-0000-0000931E0000}"/>
    <cellStyle name="Normal 9 2 2 2 2 6 3 2" xfId="15856" xr:uid="{F0EE3737-FC12-4DD2-8900-576DC539F59E}"/>
    <cellStyle name="Normal 9 2 2 2 2 6 4" xfId="11639" xr:uid="{49EFFBDF-CAA4-43EE-A38C-3949EDC1B4D1}"/>
    <cellStyle name="Normal 9 2 2 2 2 7" xfId="2660" xr:uid="{00000000-0005-0000-0000-0000941E0000}"/>
    <cellStyle name="Normal 9 2 2 2 2 7 2" xfId="6943" xr:uid="{00000000-0005-0000-0000-0000951E0000}"/>
    <cellStyle name="Normal 9 2 2 2 2 7 2 2" xfId="16269" xr:uid="{C21B1E6F-F164-48FB-8FD0-AC56E3C448B7}"/>
    <cellStyle name="Normal 9 2 2 2 2 7 3" xfId="12052" xr:uid="{BA71A215-DA23-4BB9-B847-DD24DB8CCBA2}"/>
    <cellStyle name="Normal 9 2 2 2 2 8" xfId="4878" xr:uid="{00000000-0005-0000-0000-0000961E0000}"/>
    <cellStyle name="Normal 9 2 2 2 2 8 2" xfId="14204" xr:uid="{6C3BD8EB-5B5B-4E8C-9F53-2B175A8EF7D3}"/>
    <cellStyle name="Normal 9 2 2 2 2 9" xfId="8942" xr:uid="{0DE8A022-819C-4D6A-B102-31C1C7F429A5}"/>
    <cellStyle name="Normal 9 2 2 2 2 9 2" xfId="18266" xr:uid="{5BD51F43-325A-466B-93BC-5BE960B11BD4}"/>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2 2 2" xfId="16764" xr:uid="{0A1471DD-53F0-4D7D-9067-45DC5253B589}"/>
    <cellStyle name="Normal 9 2 2 2 3 2 2 3" xfId="12547" xr:uid="{13379C60-3341-4E76-A615-05F67713E0F2}"/>
    <cellStyle name="Normal 9 2 2 2 3 2 3" xfId="5293" xr:uid="{00000000-0005-0000-0000-00009B1E0000}"/>
    <cellStyle name="Normal 9 2 2 2 3 2 3 2" xfId="14619" xr:uid="{0FA63A28-D327-46DF-9C38-387048144DBB}"/>
    <cellStyle name="Normal 9 2 2 2 3 2 4" xfId="9471" xr:uid="{E472D827-532E-42C0-B781-9E63FEBCFCF5}"/>
    <cellStyle name="Normal 9 2 2 2 3 2 4 2" xfId="18786" xr:uid="{D4FA2B21-7B8C-4FA8-BC2D-1C6EC0EA3324}"/>
    <cellStyle name="Normal 9 2 2 2 3 2 5" xfId="10402" xr:uid="{121A0768-2B94-46DF-AA41-16D0084282D6}"/>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2 2 2" xfId="17177" xr:uid="{FEA3121D-5466-4C32-ABDB-524E504CC4D9}"/>
    <cellStyle name="Normal 9 2 2 2 3 3 2 3" xfId="12960" xr:uid="{0EA7195B-00DA-4463-8D39-67BA0019DDFD}"/>
    <cellStyle name="Normal 9 2 2 2 3 3 3" xfId="5706" xr:uid="{00000000-0005-0000-0000-00009F1E0000}"/>
    <cellStyle name="Normal 9 2 2 2 3 3 3 2" xfId="15032" xr:uid="{B5CA9ECD-28F2-4F3D-BDFD-E4B453AC66E1}"/>
    <cellStyle name="Normal 9 2 2 2 3 3 4" xfId="10815" xr:uid="{CDF0BDE0-1181-4069-8273-F31E5A2F07AD}"/>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2 2 2" xfId="17590" xr:uid="{BB93EB80-FD93-4683-8C93-E62D61518E23}"/>
    <cellStyle name="Normal 9 2 2 2 3 4 2 3" xfId="13373" xr:uid="{F3A923A8-001E-4492-8A0D-8EA114B5DA5D}"/>
    <cellStyle name="Normal 9 2 2 2 3 4 3" xfId="6119" xr:uid="{00000000-0005-0000-0000-0000A31E0000}"/>
    <cellStyle name="Normal 9 2 2 2 3 4 3 2" xfId="15445" xr:uid="{254FEFF2-C737-4377-9EF4-586EB9876ED0}"/>
    <cellStyle name="Normal 9 2 2 2 3 4 4" xfId="11228" xr:uid="{090A7A49-A9EF-41DA-8E47-8E32AE6A94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2 2 2" xfId="18003" xr:uid="{3F71CAC4-08DA-4A91-80A4-A67FE379969E}"/>
    <cellStyle name="Normal 9 2 2 2 3 5 2 3" xfId="13786" xr:uid="{5283E386-48B9-499D-9F20-89AE728248F4}"/>
    <cellStyle name="Normal 9 2 2 2 3 5 3" xfId="6532" xr:uid="{00000000-0005-0000-0000-0000A71E0000}"/>
    <cellStyle name="Normal 9 2 2 2 3 5 3 2" xfId="15858" xr:uid="{5D28BB44-96B6-4344-AE1A-195329330B8B}"/>
    <cellStyle name="Normal 9 2 2 2 3 5 4" xfId="11641" xr:uid="{FFFF1560-C72F-4ED1-864B-4BBFCAACDF22}"/>
    <cellStyle name="Normal 9 2 2 2 3 6" xfId="2662" xr:uid="{00000000-0005-0000-0000-0000A81E0000}"/>
    <cellStyle name="Normal 9 2 2 2 3 6 2" xfId="6945" xr:uid="{00000000-0005-0000-0000-0000A91E0000}"/>
    <cellStyle name="Normal 9 2 2 2 3 6 2 2" xfId="16271" xr:uid="{90CBA695-FB19-44B1-BC38-7F5D80B2EC24}"/>
    <cellStyle name="Normal 9 2 2 2 3 6 3" xfId="12054" xr:uid="{C683CF31-62D1-4B9B-829B-AC6326995B62}"/>
    <cellStyle name="Normal 9 2 2 2 3 7" xfId="4880" xr:uid="{00000000-0005-0000-0000-0000AA1E0000}"/>
    <cellStyle name="Normal 9 2 2 2 3 7 2" xfId="14206" xr:uid="{6116679C-AFB4-4189-9356-B2DAAEA821C4}"/>
    <cellStyle name="Normal 9 2 2 2 3 8" xfId="9046" xr:uid="{6B7E07C7-E90B-4AE9-8FE8-76EF28E8FC85}"/>
    <cellStyle name="Normal 9 2 2 2 3 8 2" xfId="18370" xr:uid="{3188875E-669F-4940-A046-631DC7F37E1C}"/>
    <cellStyle name="Normal 9 2 2 2 3 9" xfId="9989" xr:uid="{F006DF29-CA19-4E4F-82D0-315151B93BFA}"/>
    <cellStyle name="Normal 9 2 2 2 4" xfId="980" xr:uid="{00000000-0005-0000-0000-0000AB1E0000}"/>
    <cellStyle name="Normal 9 2 2 2 4 2" xfId="3213" xr:uid="{00000000-0005-0000-0000-0000AC1E0000}"/>
    <cellStyle name="Normal 9 2 2 2 4 2 2" xfId="7435" xr:uid="{00000000-0005-0000-0000-0000AD1E0000}"/>
    <cellStyle name="Normal 9 2 2 2 4 2 2 2" xfId="16761" xr:uid="{B5F487CC-EC4B-49AE-A72F-5700CB7C89E7}"/>
    <cellStyle name="Normal 9 2 2 2 4 2 3" xfId="12544" xr:uid="{6AADAFA4-A78F-431A-9D43-DED9D9CB716D}"/>
    <cellStyle name="Normal 9 2 2 2 4 3" xfId="5290" xr:uid="{00000000-0005-0000-0000-0000AE1E0000}"/>
    <cellStyle name="Normal 9 2 2 2 4 3 2" xfId="14616" xr:uid="{6B8F2892-F04F-4607-894E-B97012D7E068}"/>
    <cellStyle name="Normal 9 2 2 2 4 4" xfId="9264" xr:uid="{0137E036-48D9-4B3B-9B73-0002A19DDE9E}"/>
    <cellStyle name="Normal 9 2 2 2 4 4 2" xfId="18579" xr:uid="{0000B970-00C0-4413-ACAB-22B63606C059}"/>
    <cellStyle name="Normal 9 2 2 2 4 5" xfId="10399" xr:uid="{154A1D23-3288-4057-AA91-D67E349513C2}"/>
    <cellStyle name="Normal 9 2 2 2 5" xfId="1396" xr:uid="{00000000-0005-0000-0000-0000AF1E0000}"/>
    <cellStyle name="Normal 9 2 2 2 5 2" xfId="3626" xr:uid="{00000000-0005-0000-0000-0000B01E0000}"/>
    <cellStyle name="Normal 9 2 2 2 5 2 2" xfId="7848" xr:uid="{00000000-0005-0000-0000-0000B11E0000}"/>
    <cellStyle name="Normal 9 2 2 2 5 2 2 2" xfId="17174" xr:uid="{27680573-EA1D-4778-9924-3BE1DCEC64C4}"/>
    <cellStyle name="Normal 9 2 2 2 5 2 3" xfId="12957" xr:uid="{8E53F2AB-2AB5-45B2-94EA-20461EEE1AFA}"/>
    <cellStyle name="Normal 9 2 2 2 5 3" xfId="5703" xr:uid="{00000000-0005-0000-0000-0000B21E0000}"/>
    <cellStyle name="Normal 9 2 2 2 5 3 2" xfId="15029" xr:uid="{B0F8535E-63B4-4BF4-AC11-4BE55C53BC90}"/>
    <cellStyle name="Normal 9 2 2 2 5 4" xfId="10812" xr:uid="{0C30EC6D-B42A-44EA-9403-F771189B5E17}"/>
    <cellStyle name="Normal 9 2 2 2 6" xfId="1809" xr:uid="{00000000-0005-0000-0000-0000B31E0000}"/>
    <cellStyle name="Normal 9 2 2 2 6 2" xfId="4039" xr:uid="{00000000-0005-0000-0000-0000B41E0000}"/>
    <cellStyle name="Normal 9 2 2 2 6 2 2" xfId="8261" xr:uid="{00000000-0005-0000-0000-0000B51E0000}"/>
    <cellStyle name="Normal 9 2 2 2 6 2 2 2" xfId="17587" xr:uid="{041DDBD4-C2AD-45EA-86F2-48895848E154}"/>
    <cellStyle name="Normal 9 2 2 2 6 2 3" xfId="13370" xr:uid="{FF397DC3-DDE4-47D0-9EBC-89E457484F25}"/>
    <cellStyle name="Normal 9 2 2 2 6 3" xfId="6116" xr:uid="{00000000-0005-0000-0000-0000B61E0000}"/>
    <cellStyle name="Normal 9 2 2 2 6 3 2" xfId="15442" xr:uid="{A56970F5-B752-4CC7-B81E-2B9BAE1ED547}"/>
    <cellStyle name="Normal 9 2 2 2 6 4" xfId="11225" xr:uid="{A595FE2E-1142-4671-9DC9-67B63F36DA3B}"/>
    <cellStyle name="Normal 9 2 2 2 7" xfId="2223" xr:uid="{00000000-0005-0000-0000-0000B71E0000}"/>
    <cellStyle name="Normal 9 2 2 2 7 2" xfId="4452" xr:uid="{00000000-0005-0000-0000-0000B81E0000}"/>
    <cellStyle name="Normal 9 2 2 2 7 2 2" xfId="8674" xr:uid="{00000000-0005-0000-0000-0000B91E0000}"/>
    <cellStyle name="Normal 9 2 2 2 7 2 2 2" xfId="18000" xr:uid="{A7432749-DB01-43A5-9A7D-BE3131377219}"/>
    <cellStyle name="Normal 9 2 2 2 7 2 3" xfId="13783" xr:uid="{38CEB9F3-031F-4DF5-95E1-D8F4EB1314AF}"/>
    <cellStyle name="Normal 9 2 2 2 7 3" xfId="6529" xr:uid="{00000000-0005-0000-0000-0000BA1E0000}"/>
    <cellStyle name="Normal 9 2 2 2 7 3 2" xfId="15855" xr:uid="{9A92427E-BECE-4826-BF5F-76CDC75D290C}"/>
    <cellStyle name="Normal 9 2 2 2 7 4" xfId="11638" xr:uid="{D53F99E6-C996-4AC2-9C13-346F654BC8AB}"/>
    <cellStyle name="Normal 9 2 2 2 8" xfId="2659" xr:uid="{00000000-0005-0000-0000-0000BB1E0000}"/>
    <cellStyle name="Normal 9 2 2 2 8 2" xfId="6942" xr:uid="{00000000-0005-0000-0000-0000BC1E0000}"/>
    <cellStyle name="Normal 9 2 2 2 8 2 2" xfId="16268" xr:uid="{2715EEAD-107B-4C6E-90D4-FEA2FF50A8D6}"/>
    <cellStyle name="Normal 9 2 2 2 8 3" xfId="12051" xr:uid="{AB68A0AB-273F-4F98-BF90-84101ABC4B74}"/>
    <cellStyle name="Normal 9 2 2 2 9" xfId="4877" xr:uid="{00000000-0005-0000-0000-0000BD1E0000}"/>
    <cellStyle name="Normal 9 2 2 2 9 2" xfId="14203" xr:uid="{574CE89F-70E4-4820-B284-2DECFB254A4A}"/>
    <cellStyle name="Normal 9 2 2 3" xfId="517" xr:uid="{00000000-0005-0000-0000-0000BE1E0000}"/>
    <cellStyle name="Normal 9 2 2 3 10" xfId="9990" xr:uid="{549D4229-F65D-4FDF-8144-692D1F9DBF14}"/>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2 2 2" xfId="16766" xr:uid="{E40282E9-E639-4F69-9FE2-1C33E19BF809}"/>
    <cellStyle name="Normal 9 2 2 3 2 2 2 3" xfId="12549" xr:uid="{5E184F00-0294-4613-A89C-9B64CF94DF62}"/>
    <cellStyle name="Normal 9 2 2 3 2 2 3" xfId="5295" xr:uid="{00000000-0005-0000-0000-0000C31E0000}"/>
    <cellStyle name="Normal 9 2 2 3 2 2 3 2" xfId="14621" xr:uid="{A291F570-11F3-4749-937E-0C0C17D05497}"/>
    <cellStyle name="Normal 9 2 2 3 2 2 4" xfId="9520" xr:uid="{57CFBD10-691F-4DF8-8020-B75E98FF60DD}"/>
    <cellStyle name="Normal 9 2 2 3 2 2 4 2" xfId="18835" xr:uid="{770C672E-40E3-48F8-832F-DB5E222FA1D4}"/>
    <cellStyle name="Normal 9 2 2 3 2 2 5" xfId="10404" xr:uid="{A035A7BD-6C37-4662-AB9D-B3E4B49F6F39}"/>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2 2 2" xfId="17179" xr:uid="{CDB1649C-04F9-4B1A-B97E-C273FC425B0A}"/>
    <cellStyle name="Normal 9 2 2 3 2 3 2 3" xfId="12962" xr:uid="{32569022-D7E0-4112-AA80-5AC797FA17B7}"/>
    <cellStyle name="Normal 9 2 2 3 2 3 3" xfId="5708" xr:uid="{00000000-0005-0000-0000-0000C71E0000}"/>
    <cellStyle name="Normal 9 2 2 3 2 3 3 2" xfId="15034" xr:uid="{321553D8-08F4-4F5B-80CA-EB3F396E48E2}"/>
    <cellStyle name="Normal 9 2 2 3 2 3 4" xfId="10817" xr:uid="{27816F6D-CF1A-42F4-8AA8-970B2DCD4247}"/>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2 2 2" xfId="17592" xr:uid="{80DD13FD-9B10-4460-B842-0D9E3CFB1FA7}"/>
    <cellStyle name="Normal 9 2 2 3 2 4 2 3" xfId="13375" xr:uid="{42DB5CE0-0470-4F39-9576-9DAFC9C4FD8A}"/>
    <cellStyle name="Normal 9 2 2 3 2 4 3" xfId="6121" xr:uid="{00000000-0005-0000-0000-0000CB1E0000}"/>
    <cellStyle name="Normal 9 2 2 3 2 4 3 2" xfId="15447" xr:uid="{2F86F3B8-89B2-44A0-960D-23D254D392F5}"/>
    <cellStyle name="Normal 9 2 2 3 2 4 4" xfId="11230" xr:uid="{63C4082F-1FD8-44B6-9ADF-649221B70F23}"/>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2 2 2" xfId="18005" xr:uid="{5F78EC7B-BB98-4BE0-A4CF-B873A35E0FB3}"/>
    <cellStyle name="Normal 9 2 2 3 2 5 2 3" xfId="13788" xr:uid="{28EB4FAC-11FB-4E77-8DBC-97F81A274322}"/>
    <cellStyle name="Normal 9 2 2 3 2 5 3" xfId="6534" xr:uid="{00000000-0005-0000-0000-0000CF1E0000}"/>
    <cellStyle name="Normal 9 2 2 3 2 5 3 2" xfId="15860" xr:uid="{73C61F06-35E0-4A90-87F5-680FDF65282C}"/>
    <cellStyle name="Normal 9 2 2 3 2 5 4" xfId="11643" xr:uid="{27AE23F6-4590-4413-A34E-3E16F0E96FAB}"/>
    <cellStyle name="Normal 9 2 2 3 2 6" xfId="2664" xr:uid="{00000000-0005-0000-0000-0000D01E0000}"/>
    <cellStyle name="Normal 9 2 2 3 2 6 2" xfId="6947" xr:uid="{00000000-0005-0000-0000-0000D11E0000}"/>
    <cellStyle name="Normal 9 2 2 3 2 6 2 2" xfId="16273" xr:uid="{28406983-DF5F-47DC-9747-15DE7AA020F1}"/>
    <cellStyle name="Normal 9 2 2 3 2 6 3" xfId="12056" xr:uid="{9639B84E-6F74-4CD9-B159-09051E82FCBB}"/>
    <cellStyle name="Normal 9 2 2 3 2 7" xfId="4882" xr:uid="{00000000-0005-0000-0000-0000D21E0000}"/>
    <cellStyle name="Normal 9 2 2 3 2 7 2" xfId="14208" xr:uid="{50C394D7-4894-4C73-ABCE-48A05D1CCDC7}"/>
    <cellStyle name="Normal 9 2 2 3 2 8" xfId="9095" xr:uid="{D95088B7-D227-4E97-A9B9-DA61436DD386}"/>
    <cellStyle name="Normal 9 2 2 3 2 8 2" xfId="18419" xr:uid="{93933D8A-8BA9-446A-8EA2-1B54090AA0D1}"/>
    <cellStyle name="Normal 9 2 2 3 2 9" xfId="9991" xr:uid="{FD3F39F2-5C69-4E66-996F-117C1D9412B8}"/>
    <cellStyle name="Normal 9 2 2 3 3" xfId="984" xr:uid="{00000000-0005-0000-0000-0000D31E0000}"/>
    <cellStyle name="Normal 9 2 2 3 3 2" xfId="3217" xr:uid="{00000000-0005-0000-0000-0000D41E0000}"/>
    <cellStyle name="Normal 9 2 2 3 3 2 2" xfId="7439" xr:uid="{00000000-0005-0000-0000-0000D51E0000}"/>
    <cellStyle name="Normal 9 2 2 3 3 2 2 2" xfId="16765" xr:uid="{023D42F1-E0DB-4966-9A8E-C2EEE0BC2184}"/>
    <cellStyle name="Normal 9 2 2 3 3 2 3" xfId="12548" xr:uid="{1456A1D8-D1A7-4CAB-95D2-3D54092926F8}"/>
    <cellStyle name="Normal 9 2 2 3 3 3" xfId="5294" xr:uid="{00000000-0005-0000-0000-0000D61E0000}"/>
    <cellStyle name="Normal 9 2 2 3 3 3 2" xfId="14620" xr:uid="{BE0A6A61-CFBB-478F-9773-FD15FF0C3B21}"/>
    <cellStyle name="Normal 9 2 2 3 3 4" xfId="9313" xr:uid="{FDDC600D-FDDD-4FFC-9820-DFD7E0768F33}"/>
    <cellStyle name="Normal 9 2 2 3 3 4 2" xfId="18628" xr:uid="{B3D7DCB4-82EA-4912-881C-EF0950EF7B79}"/>
    <cellStyle name="Normal 9 2 2 3 3 5" xfId="10403" xr:uid="{93A4F77D-C4CF-45A7-8093-FF8DA35CE236}"/>
    <cellStyle name="Normal 9 2 2 3 4" xfId="1400" xr:uid="{00000000-0005-0000-0000-0000D71E0000}"/>
    <cellStyle name="Normal 9 2 2 3 4 2" xfId="3630" xr:uid="{00000000-0005-0000-0000-0000D81E0000}"/>
    <cellStyle name="Normal 9 2 2 3 4 2 2" xfId="7852" xr:uid="{00000000-0005-0000-0000-0000D91E0000}"/>
    <cellStyle name="Normal 9 2 2 3 4 2 2 2" xfId="17178" xr:uid="{892AB3B7-B3B1-4A60-BD6B-FDBF7975B9CD}"/>
    <cellStyle name="Normal 9 2 2 3 4 2 3" xfId="12961" xr:uid="{7FD2C2B0-8339-4BDA-B0F4-F1005B68C0C8}"/>
    <cellStyle name="Normal 9 2 2 3 4 3" xfId="5707" xr:uid="{00000000-0005-0000-0000-0000DA1E0000}"/>
    <cellStyle name="Normal 9 2 2 3 4 3 2" xfId="15033" xr:uid="{267DE2BE-7AE6-42CC-98CD-2E5C024FA861}"/>
    <cellStyle name="Normal 9 2 2 3 4 4" xfId="10816" xr:uid="{300A063D-E6B9-465C-9AFC-928F3BD6F85A}"/>
    <cellStyle name="Normal 9 2 2 3 5" xfId="1813" xr:uid="{00000000-0005-0000-0000-0000DB1E0000}"/>
    <cellStyle name="Normal 9 2 2 3 5 2" xfId="4043" xr:uid="{00000000-0005-0000-0000-0000DC1E0000}"/>
    <cellStyle name="Normal 9 2 2 3 5 2 2" xfId="8265" xr:uid="{00000000-0005-0000-0000-0000DD1E0000}"/>
    <cellStyle name="Normal 9 2 2 3 5 2 2 2" xfId="17591" xr:uid="{E70A4A16-AAED-4B50-BC22-A7A98CFB4A38}"/>
    <cellStyle name="Normal 9 2 2 3 5 2 3" xfId="13374" xr:uid="{A65822D8-9B9C-4A4C-8DA2-8BE060F5441A}"/>
    <cellStyle name="Normal 9 2 2 3 5 3" xfId="6120" xr:uid="{00000000-0005-0000-0000-0000DE1E0000}"/>
    <cellStyle name="Normal 9 2 2 3 5 3 2" xfId="15446" xr:uid="{762AA47A-4284-4242-973D-3EC8946BBE03}"/>
    <cellStyle name="Normal 9 2 2 3 5 4" xfId="11229" xr:uid="{4119EE08-2E13-4E0A-ABA3-6A744E6B5BF0}"/>
    <cellStyle name="Normal 9 2 2 3 6" xfId="2227" xr:uid="{00000000-0005-0000-0000-0000DF1E0000}"/>
    <cellStyle name="Normal 9 2 2 3 6 2" xfId="4456" xr:uid="{00000000-0005-0000-0000-0000E01E0000}"/>
    <cellStyle name="Normal 9 2 2 3 6 2 2" xfId="8678" xr:uid="{00000000-0005-0000-0000-0000E11E0000}"/>
    <cellStyle name="Normal 9 2 2 3 6 2 2 2" xfId="18004" xr:uid="{7BA000F7-15D2-4D12-80ED-F9AB0306E75C}"/>
    <cellStyle name="Normal 9 2 2 3 6 2 3" xfId="13787" xr:uid="{A3204BAD-8E66-4BA7-9689-233FB0900D8F}"/>
    <cellStyle name="Normal 9 2 2 3 6 3" xfId="6533" xr:uid="{00000000-0005-0000-0000-0000E21E0000}"/>
    <cellStyle name="Normal 9 2 2 3 6 3 2" xfId="15859" xr:uid="{ACDEE38F-9DBE-4360-B65C-DA5D236C6393}"/>
    <cellStyle name="Normal 9 2 2 3 6 4" xfId="11642" xr:uid="{C085D2BF-F246-465D-A1C8-8DB3DBA44D14}"/>
    <cellStyle name="Normal 9 2 2 3 7" xfId="2663" xr:uid="{00000000-0005-0000-0000-0000E31E0000}"/>
    <cellStyle name="Normal 9 2 2 3 7 2" xfId="6946" xr:uid="{00000000-0005-0000-0000-0000E41E0000}"/>
    <cellStyle name="Normal 9 2 2 3 7 2 2" xfId="16272" xr:uid="{8CC0DBEC-FB84-4349-B463-AA0A90BC3DA9}"/>
    <cellStyle name="Normal 9 2 2 3 7 3" xfId="12055" xr:uid="{8CDB414D-21E4-46F1-8307-0CC610C8103B}"/>
    <cellStyle name="Normal 9 2 2 3 8" xfId="4881" xr:uid="{00000000-0005-0000-0000-0000E51E0000}"/>
    <cellStyle name="Normal 9 2 2 3 8 2" xfId="14207" xr:uid="{F8C8005D-AED6-4E3D-9514-2A2382CB3ED5}"/>
    <cellStyle name="Normal 9 2 2 3 9" xfId="8888" xr:uid="{47457178-62A7-4ACA-95A1-433BF4FD3D65}"/>
    <cellStyle name="Normal 9 2 2 3 9 2" xfId="18212" xr:uid="{A0CFE623-4B8D-4337-9690-E150512C2940}"/>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2 2 2" xfId="16767" xr:uid="{6E071724-0E7D-4087-BF5B-CDF1A31BEB52}"/>
    <cellStyle name="Normal 9 2 2 4 2 2 3" xfId="12550" xr:uid="{90BC44F8-9025-4002-BFE3-97133AE1605D}"/>
    <cellStyle name="Normal 9 2 2 4 2 3" xfId="5296" xr:uid="{00000000-0005-0000-0000-0000EA1E0000}"/>
    <cellStyle name="Normal 9 2 2 4 2 3 2" xfId="14622" xr:uid="{19D04879-6C59-4F80-82FF-B65E19F7BA74}"/>
    <cellStyle name="Normal 9 2 2 4 2 4" xfId="9417" xr:uid="{FDB8A679-B5B8-4E9B-808D-E68F6CA01958}"/>
    <cellStyle name="Normal 9 2 2 4 2 4 2" xfId="18732" xr:uid="{4A36725D-EA5B-4F02-8754-95BC21C66EC0}"/>
    <cellStyle name="Normal 9 2 2 4 2 5" xfId="10405" xr:uid="{338BB1CA-C29D-455E-9125-94488E0DE832}"/>
    <cellStyle name="Normal 9 2 2 4 3" xfId="1402" xr:uid="{00000000-0005-0000-0000-0000EB1E0000}"/>
    <cellStyle name="Normal 9 2 2 4 3 2" xfId="3632" xr:uid="{00000000-0005-0000-0000-0000EC1E0000}"/>
    <cellStyle name="Normal 9 2 2 4 3 2 2" xfId="7854" xr:uid="{00000000-0005-0000-0000-0000ED1E0000}"/>
    <cellStyle name="Normal 9 2 2 4 3 2 2 2" xfId="17180" xr:uid="{95D1A47F-4847-4755-A4F4-5CDE542E3B58}"/>
    <cellStyle name="Normal 9 2 2 4 3 2 3" xfId="12963" xr:uid="{A12FF3B8-63F0-449F-936F-F914BFD9AA5B}"/>
    <cellStyle name="Normal 9 2 2 4 3 3" xfId="5709" xr:uid="{00000000-0005-0000-0000-0000EE1E0000}"/>
    <cellStyle name="Normal 9 2 2 4 3 3 2" xfId="15035" xr:uid="{0E2F496F-BB14-4264-8790-10D822B1B2BA}"/>
    <cellStyle name="Normal 9 2 2 4 3 4" xfId="10818" xr:uid="{9E60E2F6-5E90-4C91-ADCC-3CD9CBC543B4}"/>
    <cellStyle name="Normal 9 2 2 4 4" xfId="1815" xr:uid="{00000000-0005-0000-0000-0000EF1E0000}"/>
    <cellStyle name="Normal 9 2 2 4 4 2" xfId="4045" xr:uid="{00000000-0005-0000-0000-0000F01E0000}"/>
    <cellStyle name="Normal 9 2 2 4 4 2 2" xfId="8267" xr:uid="{00000000-0005-0000-0000-0000F11E0000}"/>
    <cellStyle name="Normal 9 2 2 4 4 2 2 2" xfId="17593" xr:uid="{62971CFE-033F-4AE8-92DC-9687E5D8227C}"/>
    <cellStyle name="Normal 9 2 2 4 4 2 3" xfId="13376" xr:uid="{18884678-4A36-462B-AD87-9F3C58C86E5C}"/>
    <cellStyle name="Normal 9 2 2 4 4 3" xfId="6122" xr:uid="{00000000-0005-0000-0000-0000F21E0000}"/>
    <cellStyle name="Normal 9 2 2 4 4 3 2" xfId="15448" xr:uid="{CA6BFDCB-3CAF-422F-98BE-58A5241918B8}"/>
    <cellStyle name="Normal 9 2 2 4 4 4" xfId="11231" xr:uid="{C1BF8B97-E304-49E9-A1F8-B9597545E6B8}"/>
    <cellStyle name="Normal 9 2 2 4 5" xfId="2229" xr:uid="{00000000-0005-0000-0000-0000F31E0000}"/>
    <cellStyle name="Normal 9 2 2 4 5 2" xfId="4458" xr:uid="{00000000-0005-0000-0000-0000F41E0000}"/>
    <cellStyle name="Normal 9 2 2 4 5 2 2" xfId="8680" xr:uid="{00000000-0005-0000-0000-0000F51E0000}"/>
    <cellStyle name="Normal 9 2 2 4 5 2 2 2" xfId="18006" xr:uid="{E0B94A03-E971-4A8B-B8C1-9B702E118D0F}"/>
    <cellStyle name="Normal 9 2 2 4 5 2 3" xfId="13789" xr:uid="{703BAF42-EDEE-4B46-A70E-51A240D7B90D}"/>
    <cellStyle name="Normal 9 2 2 4 5 3" xfId="6535" xr:uid="{00000000-0005-0000-0000-0000F61E0000}"/>
    <cellStyle name="Normal 9 2 2 4 5 3 2" xfId="15861" xr:uid="{FAC60357-158F-4088-A0CC-B40C993F56B5}"/>
    <cellStyle name="Normal 9 2 2 4 5 4" xfId="11644" xr:uid="{EE2D1573-D4F1-437A-B8DF-B252C30B3729}"/>
    <cellStyle name="Normal 9 2 2 4 6" xfId="2665" xr:uid="{00000000-0005-0000-0000-0000F71E0000}"/>
    <cellStyle name="Normal 9 2 2 4 6 2" xfId="6948" xr:uid="{00000000-0005-0000-0000-0000F81E0000}"/>
    <cellStyle name="Normal 9 2 2 4 6 2 2" xfId="16274" xr:uid="{29E8EADC-B01C-4637-BA6A-57E8233145EA}"/>
    <cellStyle name="Normal 9 2 2 4 6 3" xfId="12057" xr:uid="{B8BA118B-3FFC-4F5B-92A4-E7786E1263E8}"/>
    <cellStyle name="Normal 9 2 2 4 7" xfId="4883" xr:uid="{00000000-0005-0000-0000-0000F91E0000}"/>
    <cellStyle name="Normal 9 2 2 4 7 2" xfId="14209" xr:uid="{FD38F0AE-E599-40C8-92F0-856F90B0712B}"/>
    <cellStyle name="Normal 9 2 2 4 8" xfId="8992" xr:uid="{8AFFF8AD-8552-4B33-AAFF-7DACAE25085E}"/>
    <cellStyle name="Normal 9 2 2 4 8 2" xfId="18316" xr:uid="{62E66EFB-30E9-4580-83E4-5CACB3E2F329}"/>
    <cellStyle name="Normal 9 2 2 4 9" xfId="9992" xr:uid="{A31A17A6-7E9F-422D-9630-4658C099A42C}"/>
    <cellStyle name="Normal 9 2 2 5" xfId="979" xr:uid="{00000000-0005-0000-0000-0000FA1E0000}"/>
    <cellStyle name="Normal 9 2 2 5 2" xfId="3212" xr:uid="{00000000-0005-0000-0000-0000FB1E0000}"/>
    <cellStyle name="Normal 9 2 2 5 2 2" xfId="7434" xr:uid="{00000000-0005-0000-0000-0000FC1E0000}"/>
    <cellStyle name="Normal 9 2 2 5 2 2 2" xfId="16760" xr:uid="{6E826D6D-6DCE-40F6-AFC8-6061933175E0}"/>
    <cellStyle name="Normal 9 2 2 5 2 3" xfId="12543" xr:uid="{16D65F0F-03DB-4DAA-94F8-28DE82B561CF}"/>
    <cellStyle name="Normal 9 2 2 5 3" xfId="5289" xr:uid="{00000000-0005-0000-0000-0000FD1E0000}"/>
    <cellStyle name="Normal 9 2 2 5 3 2" xfId="14615" xr:uid="{59B601CB-73BD-48A7-B875-1AED02EC7C26}"/>
    <cellStyle name="Normal 9 2 2 5 4" xfId="9209" xr:uid="{66E66B93-842C-41D8-A807-A065C03CFEBD}"/>
    <cellStyle name="Normal 9 2 2 5 4 2" xfId="18525" xr:uid="{BE1F490A-DA54-458B-B333-004D8DB65133}"/>
    <cellStyle name="Normal 9 2 2 5 5" xfId="10398" xr:uid="{BE499E2C-8880-4317-A161-67EB46A218FC}"/>
    <cellStyle name="Normal 9 2 2 6" xfId="1395" xr:uid="{00000000-0005-0000-0000-0000FE1E0000}"/>
    <cellStyle name="Normal 9 2 2 6 2" xfId="3625" xr:uid="{00000000-0005-0000-0000-0000FF1E0000}"/>
    <cellStyle name="Normal 9 2 2 6 2 2" xfId="7847" xr:uid="{00000000-0005-0000-0000-0000001F0000}"/>
    <cellStyle name="Normal 9 2 2 6 2 2 2" xfId="17173" xr:uid="{C781E817-126A-4E12-A46D-EFD72D9A49E1}"/>
    <cellStyle name="Normal 9 2 2 6 2 3" xfId="12956" xr:uid="{F3A869DB-D5D9-46AB-AD4D-129B7A6DC857}"/>
    <cellStyle name="Normal 9 2 2 6 3" xfId="5702" xr:uid="{00000000-0005-0000-0000-0000011F0000}"/>
    <cellStyle name="Normal 9 2 2 6 3 2" xfId="15028" xr:uid="{9711BB2E-6750-4E85-B8A8-90280F07EBDA}"/>
    <cellStyle name="Normal 9 2 2 6 4" xfId="10811" xr:uid="{B012FE2C-59ED-4D96-B499-339F11AD1953}"/>
    <cellStyle name="Normal 9 2 2 7" xfId="1808" xr:uid="{00000000-0005-0000-0000-0000021F0000}"/>
    <cellStyle name="Normal 9 2 2 7 2" xfId="4038" xr:uid="{00000000-0005-0000-0000-0000031F0000}"/>
    <cellStyle name="Normal 9 2 2 7 2 2" xfId="8260" xr:uid="{00000000-0005-0000-0000-0000041F0000}"/>
    <cellStyle name="Normal 9 2 2 7 2 2 2" xfId="17586" xr:uid="{EF7CB38A-725F-4064-B3B7-9D833336318F}"/>
    <cellStyle name="Normal 9 2 2 7 2 3" xfId="13369" xr:uid="{8250592A-36CC-4CC8-B140-7C05566EF338}"/>
    <cellStyle name="Normal 9 2 2 7 3" xfId="6115" xr:uid="{00000000-0005-0000-0000-0000051F0000}"/>
    <cellStyle name="Normal 9 2 2 7 3 2" xfId="15441" xr:uid="{87E579DE-F6F5-4B5F-A686-77ADEF220AE3}"/>
    <cellStyle name="Normal 9 2 2 7 4" xfId="11224" xr:uid="{AC804FD8-12EB-4512-A1C9-D8B5180DB24F}"/>
    <cellStyle name="Normal 9 2 2 8" xfId="2222" xr:uid="{00000000-0005-0000-0000-0000061F0000}"/>
    <cellStyle name="Normal 9 2 2 8 2" xfId="4451" xr:uid="{00000000-0005-0000-0000-0000071F0000}"/>
    <cellStyle name="Normal 9 2 2 8 2 2" xfId="8673" xr:uid="{00000000-0005-0000-0000-0000081F0000}"/>
    <cellStyle name="Normal 9 2 2 8 2 2 2" xfId="17999" xr:uid="{F1064F86-C89D-4050-AFCD-B94B40673245}"/>
    <cellStyle name="Normal 9 2 2 8 2 3" xfId="13782" xr:uid="{B6C2AADD-B4F9-479F-A5BE-368AB7F9BD75}"/>
    <cellStyle name="Normal 9 2 2 8 3" xfId="6528" xr:uid="{00000000-0005-0000-0000-0000091F0000}"/>
    <cellStyle name="Normal 9 2 2 8 3 2" xfId="15854" xr:uid="{C9382CF9-49E6-4DDC-BD68-C244867A6EEA}"/>
    <cellStyle name="Normal 9 2 2 8 4" xfId="11637" xr:uid="{1218E999-989E-49DA-8165-AD5E9879E46E}"/>
    <cellStyle name="Normal 9 2 2 9" xfId="2658" xr:uid="{00000000-0005-0000-0000-00000A1F0000}"/>
    <cellStyle name="Normal 9 2 2 9 2" xfId="6941" xr:uid="{00000000-0005-0000-0000-00000B1F0000}"/>
    <cellStyle name="Normal 9 2 2 9 2 2" xfId="16267" xr:uid="{744B4306-A3B2-4A1B-A0F1-652D20D2180C}"/>
    <cellStyle name="Normal 9 2 2 9 3" xfId="12050" xr:uid="{E0493E67-0DF4-4F58-B197-A191B49439DB}"/>
    <cellStyle name="Normal 9 2 3" xfId="520" xr:uid="{00000000-0005-0000-0000-00000C1F0000}"/>
    <cellStyle name="Normal 9 2 3 10" xfId="8838" xr:uid="{3F59BADF-95CF-4831-9CE1-8ACBDD585DF1}"/>
    <cellStyle name="Normal 9 2 3 10 2" xfId="18162" xr:uid="{616D2D4C-461E-42EB-AA20-54A7F71F527A}"/>
    <cellStyle name="Normal 9 2 3 11" xfId="9993" xr:uid="{7E7BBC27-F61A-4C8E-A769-1E9F75C9E3CE}"/>
    <cellStyle name="Normal 9 2 3 2" xfId="521" xr:uid="{00000000-0005-0000-0000-00000D1F0000}"/>
    <cellStyle name="Normal 9 2 3 2 10" xfId="9994" xr:uid="{31CFC5E0-2939-480D-8610-C46B491EBB3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2 2 2" xfId="16770" xr:uid="{BEF2D938-0EEE-4AC2-B80C-080C62B0731E}"/>
    <cellStyle name="Normal 9 2 3 2 2 2 2 3" xfId="12553" xr:uid="{F6B3C10C-165D-430D-9824-8231D9C6A172}"/>
    <cellStyle name="Normal 9 2 3 2 2 2 3" xfId="5299" xr:uid="{00000000-0005-0000-0000-0000121F0000}"/>
    <cellStyle name="Normal 9 2 3 2 2 2 3 2" xfId="14625" xr:uid="{EE5E68DA-E3CF-4D45-9669-B61D2474CC14}"/>
    <cellStyle name="Normal 9 2 3 2 2 2 4" xfId="9573" xr:uid="{376F8566-2407-40B8-9531-D3E757BE7A23}"/>
    <cellStyle name="Normal 9 2 3 2 2 2 4 2" xfId="18888" xr:uid="{EED473AB-D8AD-4989-8ADC-3597D9A2C229}"/>
    <cellStyle name="Normal 9 2 3 2 2 2 5" xfId="10408" xr:uid="{545134CC-62F0-41C1-98DD-D08757325597}"/>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2 2 2" xfId="17183" xr:uid="{601FEC21-2E61-4441-9E7E-FC18ACB16BD8}"/>
    <cellStyle name="Normal 9 2 3 2 2 3 2 3" xfId="12966" xr:uid="{EA06DAFF-915A-45A2-98A3-F4EEEB63A286}"/>
    <cellStyle name="Normal 9 2 3 2 2 3 3" xfId="5712" xr:uid="{00000000-0005-0000-0000-0000161F0000}"/>
    <cellStyle name="Normal 9 2 3 2 2 3 3 2" xfId="15038" xr:uid="{83DC8C80-D999-4904-85D3-5BE057F821FC}"/>
    <cellStyle name="Normal 9 2 3 2 2 3 4" xfId="10821" xr:uid="{32AD098C-5177-4D62-86F6-5B9BE8625C8B}"/>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2 2 2" xfId="17596" xr:uid="{14683F70-1911-456A-9718-2C1401950B21}"/>
    <cellStyle name="Normal 9 2 3 2 2 4 2 3" xfId="13379" xr:uid="{F021DE3F-CFFB-41CD-BA9F-F8012D2B33C5}"/>
    <cellStyle name="Normal 9 2 3 2 2 4 3" xfId="6125" xr:uid="{00000000-0005-0000-0000-00001A1F0000}"/>
    <cellStyle name="Normal 9 2 3 2 2 4 3 2" xfId="15451" xr:uid="{44253246-0ED2-4449-8334-697DDAF257D3}"/>
    <cellStyle name="Normal 9 2 3 2 2 4 4" xfId="11234" xr:uid="{1B650339-3871-4782-A944-14EAFA273F34}"/>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2 2 2" xfId="18009" xr:uid="{119DBE03-E0A3-4A2D-92D8-4BBA294505B3}"/>
    <cellStyle name="Normal 9 2 3 2 2 5 2 3" xfId="13792" xr:uid="{D9EDBB16-61F1-4091-AA54-185CDCE9A230}"/>
    <cellStyle name="Normal 9 2 3 2 2 5 3" xfId="6538" xr:uid="{00000000-0005-0000-0000-00001E1F0000}"/>
    <cellStyle name="Normal 9 2 3 2 2 5 3 2" xfId="15864" xr:uid="{97BD848E-99DA-4BE1-8B4C-036003080360}"/>
    <cellStyle name="Normal 9 2 3 2 2 5 4" xfId="11647" xr:uid="{AB81437F-FF5D-4972-997D-5BF2255DC327}"/>
    <cellStyle name="Normal 9 2 3 2 2 6" xfId="2668" xr:uid="{00000000-0005-0000-0000-00001F1F0000}"/>
    <cellStyle name="Normal 9 2 3 2 2 6 2" xfId="6951" xr:uid="{00000000-0005-0000-0000-0000201F0000}"/>
    <cellStyle name="Normal 9 2 3 2 2 6 2 2" xfId="16277" xr:uid="{392386C6-03EB-4C6B-B16A-BB11F6316CBF}"/>
    <cellStyle name="Normal 9 2 3 2 2 6 3" xfId="12060" xr:uid="{8CCFB40D-20CB-4187-899C-85E5711B5E83}"/>
    <cellStyle name="Normal 9 2 3 2 2 7" xfId="4886" xr:uid="{00000000-0005-0000-0000-0000211F0000}"/>
    <cellStyle name="Normal 9 2 3 2 2 7 2" xfId="14212" xr:uid="{C468F54D-5358-45C6-BE02-6F7D4EDF5D65}"/>
    <cellStyle name="Normal 9 2 3 2 2 8" xfId="9148" xr:uid="{E1A2F3F0-C8EA-47FA-BB37-18F117041A87}"/>
    <cellStyle name="Normal 9 2 3 2 2 8 2" xfId="18472" xr:uid="{933D1043-9297-449F-A92C-099F2B80577B}"/>
    <cellStyle name="Normal 9 2 3 2 2 9" xfId="9995" xr:uid="{4E0030FB-A5DF-42FC-A06C-C2DAEB242187}"/>
    <cellStyle name="Normal 9 2 3 2 3" xfId="988" xr:uid="{00000000-0005-0000-0000-0000221F0000}"/>
    <cellStyle name="Normal 9 2 3 2 3 2" xfId="3221" xr:uid="{00000000-0005-0000-0000-0000231F0000}"/>
    <cellStyle name="Normal 9 2 3 2 3 2 2" xfId="7443" xr:uid="{00000000-0005-0000-0000-0000241F0000}"/>
    <cellStyle name="Normal 9 2 3 2 3 2 2 2" xfId="16769" xr:uid="{5E6CBA9B-1BA5-4CA3-A28F-7CE0F0AB4CCD}"/>
    <cellStyle name="Normal 9 2 3 2 3 2 3" xfId="12552" xr:uid="{41769B75-5A4C-40DA-8D06-003D16C65FDA}"/>
    <cellStyle name="Normal 9 2 3 2 3 3" xfId="5298" xr:uid="{00000000-0005-0000-0000-0000251F0000}"/>
    <cellStyle name="Normal 9 2 3 2 3 3 2" xfId="14624" xr:uid="{F6BF466B-A52D-439D-8B25-3A39F8C3D18F}"/>
    <cellStyle name="Normal 9 2 3 2 3 4" xfId="9366" xr:uid="{136A6B94-9CAA-4F6C-B09D-7385900FCA38}"/>
    <cellStyle name="Normal 9 2 3 2 3 4 2" xfId="18681" xr:uid="{A53A243C-E56D-4485-9FB5-D5527D018144}"/>
    <cellStyle name="Normal 9 2 3 2 3 5" xfId="10407" xr:uid="{11722050-E340-4C2D-8DA2-09C88223A51B}"/>
    <cellStyle name="Normal 9 2 3 2 4" xfId="1404" xr:uid="{00000000-0005-0000-0000-0000261F0000}"/>
    <cellStyle name="Normal 9 2 3 2 4 2" xfId="3634" xr:uid="{00000000-0005-0000-0000-0000271F0000}"/>
    <cellStyle name="Normal 9 2 3 2 4 2 2" xfId="7856" xr:uid="{00000000-0005-0000-0000-0000281F0000}"/>
    <cellStyle name="Normal 9 2 3 2 4 2 2 2" xfId="17182" xr:uid="{4F8A0BBC-3D58-4C51-9B7A-74757809209C}"/>
    <cellStyle name="Normal 9 2 3 2 4 2 3" xfId="12965" xr:uid="{2D61C84C-C6D3-44FA-BFB6-0E47EE1B70B4}"/>
    <cellStyle name="Normal 9 2 3 2 4 3" xfId="5711" xr:uid="{00000000-0005-0000-0000-0000291F0000}"/>
    <cellStyle name="Normal 9 2 3 2 4 3 2" xfId="15037" xr:uid="{5925246F-DB6D-45EF-AD65-5602785A462D}"/>
    <cellStyle name="Normal 9 2 3 2 4 4" xfId="10820" xr:uid="{E4AE1E96-6608-4329-A6BC-C640274B1F12}"/>
    <cellStyle name="Normal 9 2 3 2 5" xfId="1817" xr:uid="{00000000-0005-0000-0000-00002A1F0000}"/>
    <cellStyle name="Normal 9 2 3 2 5 2" xfId="4047" xr:uid="{00000000-0005-0000-0000-00002B1F0000}"/>
    <cellStyle name="Normal 9 2 3 2 5 2 2" xfId="8269" xr:uid="{00000000-0005-0000-0000-00002C1F0000}"/>
    <cellStyle name="Normal 9 2 3 2 5 2 2 2" xfId="17595" xr:uid="{6899D6D1-BB15-4837-AD56-9FAB12BCBA70}"/>
    <cellStyle name="Normal 9 2 3 2 5 2 3" xfId="13378" xr:uid="{0C75E161-EAF3-4414-BB75-48F10BCC6BC0}"/>
    <cellStyle name="Normal 9 2 3 2 5 3" xfId="6124" xr:uid="{00000000-0005-0000-0000-00002D1F0000}"/>
    <cellStyle name="Normal 9 2 3 2 5 3 2" xfId="15450" xr:uid="{48166590-6DE7-4AEE-AC7D-0CA49D97B4C2}"/>
    <cellStyle name="Normal 9 2 3 2 5 4" xfId="11233" xr:uid="{6CC647FC-98DD-4E22-8591-AE6BC59672CC}"/>
    <cellStyle name="Normal 9 2 3 2 6" xfId="2231" xr:uid="{00000000-0005-0000-0000-00002E1F0000}"/>
    <cellStyle name="Normal 9 2 3 2 6 2" xfId="4460" xr:uid="{00000000-0005-0000-0000-00002F1F0000}"/>
    <cellStyle name="Normal 9 2 3 2 6 2 2" xfId="8682" xr:uid="{00000000-0005-0000-0000-0000301F0000}"/>
    <cellStyle name="Normal 9 2 3 2 6 2 2 2" xfId="18008" xr:uid="{9909CA51-1AA4-4113-B343-51535662FB4E}"/>
    <cellStyle name="Normal 9 2 3 2 6 2 3" xfId="13791" xr:uid="{26D84D52-5FF6-4618-B975-66E5C7A18E94}"/>
    <cellStyle name="Normal 9 2 3 2 6 3" xfId="6537" xr:uid="{00000000-0005-0000-0000-0000311F0000}"/>
    <cellStyle name="Normal 9 2 3 2 6 3 2" xfId="15863" xr:uid="{9E929FAD-9FD7-4479-90B1-8EA59676C9F0}"/>
    <cellStyle name="Normal 9 2 3 2 6 4" xfId="11646" xr:uid="{61A83800-4D0F-4AE9-B2F8-AA59F6FE10DB}"/>
    <cellStyle name="Normal 9 2 3 2 7" xfId="2667" xr:uid="{00000000-0005-0000-0000-0000321F0000}"/>
    <cellStyle name="Normal 9 2 3 2 7 2" xfId="6950" xr:uid="{00000000-0005-0000-0000-0000331F0000}"/>
    <cellStyle name="Normal 9 2 3 2 7 2 2" xfId="16276" xr:uid="{E88C9F79-94E9-4E22-97BF-B80CF2BD1882}"/>
    <cellStyle name="Normal 9 2 3 2 7 3" xfId="12059" xr:uid="{067DDBCC-E9D5-4488-AE33-CD9C7186FCF0}"/>
    <cellStyle name="Normal 9 2 3 2 8" xfId="4885" xr:uid="{00000000-0005-0000-0000-0000341F0000}"/>
    <cellStyle name="Normal 9 2 3 2 8 2" xfId="14211" xr:uid="{9F0A49A5-D748-499D-AD98-9AEBC2ED37C1}"/>
    <cellStyle name="Normal 9 2 3 2 9" xfId="8941" xr:uid="{DDA1E375-E708-45D0-9119-207D493A75BA}"/>
    <cellStyle name="Normal 9 2 3 2 9 2" xfId="18265" xr:uid="{1523B3FF-5149-4029-B2CA-129AD18AADB8}"/>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2 2 2" xfId="16771" xr:uid="{EB57D045-79A6-4353-8720-38CDF743EA45}"/>
    <cellStyle name="Normal 9 2 3 3 2 2 3" xfId="12554" xr:uid="{66979D8E-DE9E-4235-9047-E989A11716D2}"/>
    <cellStyle name="Normal 9 2 3 3 2 3" xfId="5300" xr:uid="{00000000-0005-0000-0000-0000391F0000}"/>
    <cellStyle name="Normal 9 2 3 3 2 3 2" xfId="14626" xr:uid="{88C4C6C9-9398-4464-8CBE-8DB23D33C713}"/>
    <cellStyle name="Normal 9 2 3 3 2 4" xfId="9470" xr:uid="{B46EA5E7-4A9D-405A-94B0-2C155F0DE1F1}"/>
    <cellStyle name="Normal 9 2 3 3 2 4 2" xfId="18785" xr:uid="{312E479D-DF16-4B10-A5E3-A9C739389FB2}"/>
    <cellStyle name="Normal 9 2 3 3 2 5" xfId="10409" xr:uid="{B770A7FD-C538-46D8-A732-4888EC047282}"/>
    <cellStyle name="Normal 9 2 3 3 3" xfId="1406" xr:uid="{00000000-0005-0000-0000-00003A1F0000}"/>
    <cellStyle name="Normal 9 2 3 3 3 2" xfId="3636" xr:uid="{00000000-0005-0000-0000-00003B1F0000}"/>
    <cellStyle name="Normal 9 2 3 3 3 2 2" xfId="7858" xr:uid="{00000000-0005-0000-0000-00003C1F0000}"/>
    <cellStyle name="Normal 9 2 3 3 3 2 2 2" xfId="17184" xr:uid="{5802BAD5-FDD9-4209-964D-FDA1428CA346}"/>
    <cellStyle name="Normal 9 2 3 3 3 2 3" xfId="12967" xr:uid="{D333B215-74A2-4B54-A5A5-89F93868D948}"/>
    <cellStyle name="Normal 9 2 3 3 3 3" xfId="5713" xr:uid="{00000000-0005-0000-0000-00003D1F0000}"/>
    <cellStyle name="Normal 9 2 3 3 3 3 2" xfId="15039" xr:uid="{489807C9-47B6-4288-A80B-923662797A8E}"/>
    <cellStyle name="Normal 9 2 3 3 3 4" xfId="10822" xr:uid="{B6F8BC59-0BB8-460D-A6CE-44D1ED57E8E2}"/>
    <cellStyle name="Normal 9 2 3 3 4" xfId="1819" xr:uid="{00000000-0005-0000-0000-00003E1F0000}"/>
    <cellStyle name="Normal 9 2 3 3 4 2" xfId="4049" xr:uid="{00000000-0005-0000-0000-00003F1F0000}"/>
    <cellStyle name="Normal 9 2 3 3 4 2 2" xfId="8271" xr:uid="{00000000-0005-0000-0000-0000401F0000}"/>
    <cellStyle name="Normal 9 2 3 3 4 2 2 2" xfId="17597" xr:uid="{E94455B8-814B-4F80-A4C5-F7C9D88E8978}"/>
    <cellStyle name="Normal 9 2 3 3 4 2 3" xfId="13380" xr:uid="{A8BC820A-8A0B-4A62-8BDF-9FD00B256341}"/>
    <cellStyle name="Normal 9 2 3 3 4 3" xfId="6126" xr:uid="{00000000-0005-0000-0000-0000411F0000}"/>
    <cellStyle name="Normal 9 2 3 3 4 3 2" xfId="15452" xr:uid="{4C086557-D720-4CFA-BC33-5D9FE9D6131E}"/>
    <cellStyle name="Normal 9 2 3 3 4 4" xfId="11235" xr:uid="{5B98A58F-0A20-4B4C-AC0D-5F48D9716E82}"/>
    <cellStyle name="Normal 9 2 3 3 5" xfId="2233" xr:uid="{00000000-0005-0000-0000-0000421F0000}"/>
    <cellStyle name="Normal 9 2 3 3 5 2" xfId="4462" xr:uid="{00000000-0005-0000-0000-0000431F0000}"/>
    <cellStyle name="Normal 9 2 3 3 5 2 2" xfId="8684" xr:uid="{00000000-0005-0000-0000-0000441F0000}"/>
    <cellStyle name="Normal 9 2 3 3 5 2 2 2" xfId="18010" xr:uid="{83D467FD-83FB-4174-B0AD-5B8A441A40C7}"/>
    <cellStyle name="Normal 9 2 3 3 5 2 3" xfId="13793" xr:uid="{D7E34CA3-0195-438E-8760-23AAAC479DE5}"/>
    <cellStyle name="Normal 9 2 3 3 5 3" xfId="6539" xr:uid="{00000000-0005-0000-0000-0000451F0000}"/>
    <cellStyle name="Normal 9 2 3 3 5 3 2" xfId="15865" xr:uid="{B643C2FD-F2A9-406A-93C3-78828879850B}"/>
    <cellStyle name="Normal 9 2 3 3 5 4" xfId="11648" xr:uid="{3A87619C-5B9A-4AA7-84CF-1F4B88D1A06E}"/>
    <cellStyle name="Normal 9 2 3 3 6" xfId="2669" xr:uid="{00000000-0005-0000-0000-0000461F0000}"/>
    <cellStyle name="Normal 9 2 3 3 6 2" xfId="6952" xr:uid="{00000000-0005-0000-0000-0000471F0000}"/>
    <cellStyle name="Normal 9 2 3 3 6 2 2" xfId="16278" xr:uid="{573519CC-80A8-4308-B852-7FE7F5AE79DB}"/>
    <cellStyle name="Normal 9 2 3 3 6 3" xfId="12061" xr:uid="{71CADEE0-653E-4147-A157-68DDC56EE9B1}"/>
    <cellStyle name="Normal 9 2 3 3 7" xfId="4887" xr:uid="{00000000-0005-0000-0000-0000481F0000}"/>
    <cellStyle name="Normal 9 2 3 3 7 2" xfId="14213" xr:uid="{D86C3465-673F-4161-AE02-76050CF89B72}"/>
    <cellStyle name="Normal 9 2 3 3 8" xfId="9045" xr:uid="{CD23D75F-FCE1-471A-A55A-DAC6FB15D069}"/>
    <cellStyle name="Normal 9 2 3 3 8 2" xfId="18369" xr:uid="{97F51103-9926-4A39-B690-F55100FBB1DF}"/>
    <cellStyle name="Normal 9 2 3 3 9" xfId="9996" xr:uid="{0D03F726-C4EC-45E8-832F-FCCBEE2A1B18}"/>
    <cellStyle name="Normal 9 2 3 4" xfId="987" xr:uid="{00000000-0005-0000-0000-0000491F0000}"/>
    <cellStyle name="Normal 9 2 3 4 2" xfId="3220" xr:uid="{00000000-0005-0000-0000-00004A1F0000}"/>
    <cellStyle name="Normal 9 2 3 4 2 2" xfId="7442" xr:uid="{00000000-0005-0000-0000-00004B1F0000}"/>
    <cellStyle name="Normal 9 2 3 4 2 2 2" xfId="16768" xr:uid="{3E851884-5C61-4D55-8144-944D738C8351}"/>
    <cellStyle name="Normal 9 2 3 4 2 3" xfId="12551" xr:uid="{ED08F754-20DE-4214-9AFE-5555FEF575C9}"/>
    <cellStyle name="Normal 9 2 3 4 3" xfId="5297" xr:uid="{00000000-0005-0000-0000-00004C1F0000}"/>
    <cellStyle name="Normal 9 2 3 4 3 2" xfId="14623" xr:uid="{3502CB08-ECB4-4D26-B67A-0421405090E6}"/>
    <cellStyle name="Normal 9 2 3 4 4" xfId="9263" xr:uid="{8E7B719A-F76B-4A2B-A5A7-1A883FD6976F}"/>
    <cellStyle name="Normal 9 2 3 4 4 2" xfId="18578" xr:uid="{88506496-8AA9-49D8-A9C9-C83C718F65A9}"/>
    <cellStyle name="Normal 9 2 3 4 5" xfId="10406" xr:uid="{429D5439-5EFF-478A-A76D-44A6D5EAAA20}"/>
    <cellStyle name="Normal 9 2 3 5" xfId="1403" xr:uid="{00000000-0005-0000-0000-00004D1F0000}"/>
    <cellStyle name="Normal 9 2 3 5 2" xfId="3633" xr:uid="{00000000-0005-0000-0000-00004E1F0000}"/>
    <cellStyle name="Normal 9 2 3 5 2 2" xfId="7855" xr:uid="{00000000-0005-0000-0000-00004F1F0000}"/>
    <cellStyle name="Normal 9 2 3 5 2 2 2" xfId="17181" xr:uid="{DF469F9C-288F-41B8-8BAF-A4D315AC3294}"/>
    <cellStyle name="Normal 9 2 3 5 2 3" xfId="12964" xr:uid="{20A5297C-391C-4267-B530-819E90420D7E}"/>
    <cellStyle name="Normal 9 2 3 5 3" xfId="5710" xr:uid="{00000000-0005-0000-0000-0000501F0000}"/>
    <cellStyle name="Normal 9 2 3 5 3 2" xfId="15036" xr:uid="{FDD8CDEE-B42F-4010-B0D8-9B830D78FD75}"/>
    <cellStyle name="Normal 9 2 3 5 4" xfId="10819" xr:uid="{AB54370D-80E9-458D-A6FD-CCAB98BE92AE}"/>
    <cellStyle name="Normal 9 2 3 6" xfId="1816" xr:uid="{00000000-0005-0000-0000-0000511F0000}"/>
    <cellStyle name="Normal 9 2 3 6 2" xfId="4046" xr:uid="{00000000-0005-0000-0000-0000521F0000}"/>
    <cellStyle name="Normal 9 2 3 6 2 2" xfId="8268" xr:uid="{00000000-0005-0000-0000-0000531F0000}"/>
    <cellStyle name="Normal 9 2 3 6 2 2 2" xfId="17594" xr:uid="{A86E2DA9-9EE6-40CB-90D7-808D7FE15DD1}"/>
    <cellStyle name="Normal 9 2 3 6 2 3" xfId="13377" xr:uid="{C15C4D31-AC37-4179-A4A6-5CF80BA1C463}"/>
    <cellStyle name="Normal 9 2 3 6 3" xfId="6123" xr:uid="{00000000-0005-0000-0000-0000541F0000}"/>
    <cellStyle name="Normal 9 2 3 6 3 2" xfId="15449" xr:uid="{D881F5F9-F573-49F9-B80C-F1C9EC2894D9}"/>
    <cellStyle name="Normal 9 2 3 6 4" xfId="11232" xr:uid="{EC3BD947-E2EF-447D-8247-B6CDE19E9755}"/>
    <cellStyle name="Normal 9 2 3 7" xfId="2230" xr:uid="{00000000-0005-0000-0000-0000551F0000}"/>
    <cellStyle name="Normal 9 2 3 7 2" xfId="4459" xr:uid="{00000000-0005-0000-0000-0000561F0000}"/>
    <cellStyle name="Normal 9 2 3 7 2 2" xfId="8681" xr:uid="{00000000-0005-0000-0000-0000571F0000}"/>
    <cellStyle name="Normal 9 2 3 7 2 2 2" xfId="18007" xr:uid="{3E017D26-6E92-453A-B09B-A92A02D5A09A}"/>
    <cellStyle name="Normal 9 2 3 7 2 3" xfId="13790" xr:uid="{03E82188-F4FA-4F74-B659-C0F70590A11D}"/>
    <cellStyle name="Normal 9 2 3 7 3" xfId="6536" xr:uid="{00000000-0005-0000-0000-0000581F0000}"/>
    <cellStyle name="Normal 9 2 3 7 3 2" xfId="15862" xr:uid="{99749554-D1E5-4CBE-981B-E48FC6AFF564}"/>
    <cellStyle name="Normal 9 2 3 7 4" xfId="11645" xr:uid="{D7B08B51-73D1-4914-89A0-9E7E1DE57822}"/>
    <cellStyle name="Normal 9 2 3 8" xfId="2666" xr:uid="{00000000-0005-0000-0000-0000591F0000}"/>
    <cellStyle name="Normal 9 2 3 8 2" xfId="6949" xr:uid="{00000000-0005-0000-0000-00005A1F0000}"/>
    <cellStyle name="Normal 9 2 3 8 2 2" xfId="16275" xr:uid="{E04DCE9F-E2C7-47A7-A045-D8D2B494EC06}"/>
    <cellStyle name="Normal 9 2 3 8 3" xfId="12058" xr:uid="{3916BFF3-700C-4E7B-B765-A16C073EF2C6}"/>
    <cellStyle name="Normal 9 2 3 9" xfId="4884" xr:uid="{00000000-0005-0000-0000-00005B1F0000}"/>
    <cellStyle name="Normal 9 2 3 9 2" xfId="14210" xr:uid="{E84CD2A5-FA14-4B74-9021-ABE79C70D103}"/>
    <cellStyle name="Normal 9 2 4" xfId="524" xr:uid="{00000000-0005-0000-0000-00005C1F0000}"/>
    <cellStyle name="Normal 9 2 4 10" xfId="9997" xr:uid="{CD34B781-3188-4FEB-BDAD-867D098F2612}"/>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2 2 2" xfId="16773" xr:uid="{0EC0A7F7-6994-43F3-BDF3-08DF673B3E42}"/>
    <cellStyle name="Normal 9 2 4 2 2 2 3" xfId="12556" xr:uid="{15735ECA-77AC-40D0-9E34-B638382C03F2}"/>
    <cellStyle name="Normal 9 2 4 2 2 3" xfId="5302" xr:uid="{00000000-0005-0000-0000-0000611F0000}"/>
    <cellStyle name="Normal 9 2 4 2 2 3 2" xfId="14628" xr:uid="{5244680C-8D46-4A02-A34A-3E6CEA17E87C}"/>
    <cellStyle name="Normal 9 2 4 2 2 4" xfId="9489" xr:uid="{4BA9DC16-58A7-4D6B-90A6-6BB0C51A0279}"/>
    <cellStyle name="Normal 9 2 4 2 2 4 2" xfId="18804" xr:uid="{2B7841B4-0723-4EF0-88B5-DE381888AA72}"/>
    <cellStyle name="Normal 9 2 4 2 2 5" xfId="10411" xr:uid="{1A11F848-7DEB-4A2B-BAF7-F3E9551BA789}"/>
    <cellStyle name="Normal 9 2 4 2 3" xfId="1408" xr:uid="{00000000-0005-0000-0000-0000621F0000}"/>
    <cellStyle name="Normal 9 2 4 2 3 2" xfId="3638" xr:uid="{00000000-0005-0000-0000-0000631F0000}"/>
    <cellStyle name="Normal 9 2 4 2 3 2 2" xfId="7860" xr:uid="{00000000-0005-0000-0000-0000641F0000}"/>
    <cellStyle name="Normal 9 2 4 2 3 2 2 2" xfId="17186" xr:uid="{B2765FC2-2527-4D9B-A128-0EF7C7DEB5CA}"/>
    <cellStyle name="Normal 9 2 4 2 3 2 3" xfId="12969" xr:uid="{6325DB7E-1EBC-45BD-8603-66D0C0FBF812}"/>
    <cellStyle name="Normal 9 2 4 2 3 3" xfId="5715" xr:uid="{00000000-0005-0000-0000-0000651F0000}"/>
    <cellStyle name="Normal 9 2 4 2 3 3 2" xfId="15041" xr:uid="{F0B43188-5DD9-4674-89AD-F05DC6B91744}"/>
    <cellStyle name="Normal 9 2 4 2 3 4" xfId="10824" xr:uid="{E1C484CF-B2B3-47D6-A086-FDFEA78FE78F}"/>
    <cellStyle name="Normal 9 2 4 2 4" xfId="1821" xr:uid="{00000000-0005-0000-0000-0000661F0000}"/>
    <cellStyle name="Normal 9 2 4 2 4 2" xfId="4051" xr:uid="{00000000-0005-0000-0000-0000671F0000}"/>
    <cellStyle name="Normal 9 2 4 2 4 2 2" xfId="8273" xr:uid="{00000000-0005-0000-0000-0000681F0000}"/>
    <cellStyle name="Normal 9 2 4 2 4 2 2 2" xfId="17599" xr:uid="{E5EE49F1-0023-4F95-A6F9-6E90E7A39C6E}"/>
    <cellStyle name="Normal 9 2 4 2 4 2 3" xfId="13382" xr:uid="{F366232B-9013-4D3D-BBE8-35021AC84D0A}"/>
    <cellStyle name="Normal 9 2 4 2 4 3" xfId="6128" xr:uid="{00000000-0005-0000-0000-0000691F0000}"/>
    <cellStyle name="Normal 9 2 4 2 4 3 2" xfId="15454" xr:uid="{3866A232-95B0-46A3-9405-8070B17DC1F3}"/>
    <cellStyle name="Normal 9 2 4 2 4 4" xfId="11237" xr:uid="{1890833C-6782-4A21-A582-DE809B84A6F2}"/>
    <cellStyle name="Normal 9 2 4 2 5" xfId="2235" xr:uid="{00000000-0005-0000-0000-00006A1F0000}"/>
    <cellStyle name="Normal 9 2 4 2 5 2" xfId="4464" xr:uid="{00000000-0005-0000-0000-00006B1F0000}"/>
    <cellStyle name="Normal 9 2 4 2 5 2 2" xfId="8686" xr:uid="{00000000-0005-0000-0000-00006C1F0000}"/>
    <cellStyle name="Normal 9 2 4 2 5 2 2 2" xfId="18012" xr:uid="{7A547A86-1848-43E4-A4B1-8437CA977BCE}"/>
    <cellStyle name="Normal 9 2 4 2 5 2 3" xfId="13795" xr:uid="{719F66C5-FC88-4190-89BF-0476602168CC}"/>
    <cellStyle name="Normal 9 2 4 2 5 3" xfId="6541" xr:uid="{00000000-0005-0000-0000-00006D1F0000}"/>
    <cellStyle name="Normal 9 2 4 2 5 3 2" xfId="15867" xr:uid="{303D36BE-A152-4C2A-B241-41B9F8F768B5}"/>
    <cellStyle name="Normal 9 2 4 2 5 4" xfId="11650" xr:uid="{4625B9AC-F40F-410A-8137-EA4227A0CF2F}"/>
    <cellStyle name="Normal 9 2 4 2 6" xfId="2671" xr:uid="{00000000-0005-0000-0000-00006E1F0000}"/>
    <cellStyle name="Normal 9 2 4 2 6 2" xfId="6954" xr:uid="{00000000-0005-0000-0000-00006F1F0000}"/>
    <cellStyle name="Normal 9 2 4 2 6 2 2" xfId="16280" xr:uid="{A0DB0E03-D9C4-4A57-AF22-FE88869128FB}"/>
    <cellStyle name="Normal 9 2 4 2 6 3" xfId="12063" xr:uid="{4811B76D-12A0-4035-82FC-A677370E9BF1}"/>
    <cellStyle name="Normal 9 2 4 2 7" xfId="4889" xr:uid="{00000000-0005-0000-0000-0000701F0000}"/>
    <cellStyle name="Normal 9 2 4 2 7 2" xfId="14215" xr:uid="{919474A1-69C3-4CA2-84BA-E3218A7CD337}"/>
    <cellStyle name="Normal 9 2 4 2 8" xfId="9064" xr:uid="{7D4090C3-C767-4FFF-8A1F-282B2C8BAE68}"/>
    <cellStyle name="Normal 9 2 4 2 8 2" xfId="18388" xr:uid="{47741A79-8E4B-42BF-9EE4-08718E90E176}"/>
    <cellStyle name="Normal 9 2 4 2 9" xfId="9998" xr:uid="{2E20AA54-AB27-42DC-816C-4B0377EECFC3}"/>
    <cellStyle name="Normal 9 2 4 3" xfId="991" xr:uid="{00000000-0005-0000-0000-0000711F0000}"/>
    <cellStyle name="Normal 9 2 4 3 2" xfId="3224" xr:uid="{00000000-0005-0000-0000-0000721F0000}"/>
    <cellStyle name="Normal 9 2 4 3 2 2" xfId="7446" xr:uid="{00000000-0005-0000-0000-0000731F0000}"/>
    <cellStyle name="Normal 9 2 4 3 2 2 2" xfId="16772" xr:uid="{6B49AD74-0453-4E97-BEEF-8A0112FA2B3A}"/>
    <cellStyle name="Normal 9 2 4 3 2 3" xfId="12555" xr:uid="{74EE9F6C-D18B-48CA-BA3F-223138BCD66A}"/>
    <cellStyle name="Normal 9 2 4 3 3" xfId="5301" xr:uid="{00000000-0005-0000-0000-0000741F0000}"/>
    <cellStyle name="Normal 9 2 4 3 3 2" xfId="14627" xr:uid="{BC6CDD7F-E571-4CCB-B2AB-EFDFF5E5142F}"/>
    <cellStyle name="Normal 9 2 4 3 4" xfId="9282" xr:uid="{2471E5AC-3D06-4E90-9462-C54FACA9B22B}"/>
    <cellStyle name="Normal 9 2 4 3 4 2" xfId="18597" xr:uid="{2E133BF8-2729-43D9-9BAE-AAFD580FF124}"/>
    <cellStyle name="Normal 9 2 4 3 5" xfId="10410" xr:uid="{0537E354-F5C1-460A-89BA-A3CAA3C9BA2D}"/>
    <cellStyle name="Normal 9 2 4 4" xfId="1407" xr:uid="{00000000-0005-0000-0000-0000751F0000}"/>
    <cellStyle name="Normal 9 2 4 4 2" xfId="3637" xr:uid="{00000000-0005-0000-0000-0000761F0000}"/>
    <cellStyle name="Normal 9 2 4 4 2 2" xfId="7859" xr:uid="{00000000-0005-0000-0000-0000771F0000}"/>
    <cellStyle name="Normal 9 2 4 4 2 2 2" xfId="17185" xr:uid="{B08D4DEB-49D0-499E-8FCD-B91198A85369}"/>
    <cellStyle name="Normal 9 2 4 4 2 3" xfId="12968" xr:uid="{9729D2FF-22DA-4174-AA84-97B6471FF69F}"/>
    <cellStyle name="Normal 9 2 4 4 3" xfId="5714" xr:uid="{00000000-0005-0000-0000-0000781F0000}"/>
    <cellStyle name="Normal 9 2 4 4 3 2" xfId="15040" xr:uid="{E0C21800-9B77-49AE-A3E8-4187D027E076}"/>
    <cellStyle name="Normal 9 2 4 4 4" xfId="10823" xr:uid="{AAC37994-739E-4FE0-9146-9EF0FF256A06}"/>
    <cellStyle name="Normal 9 2 4 5" xfId="1820" xr:uid="{00000000-0005-0000-0000-0000791F0000}"/>
    <cellStyle name="Normal 9 2 4 5 2" xfId="4050" xr:uid="{00000000-0005-0000-0000-00007A1F0000}"/>
    <cellStyle name="Normal 9 2 4 5 2 2" xfId="8272" xr:uid="{00000000-0005-0000-0000-00007B1F0000}"/>
    <cellStyle name="Normal 9 2 4 5 2 2 2" xfId="17598" xr:uid="{3A3431C9-B084-4E60-9C1D-969A15D79673}"/>
    <cellStyle name="Normal 9 2 4 5 2 3" xfId="13381" xr:uid="{0F100EAB-393F-4F14-BF8F-5AD0301A68A5}"/>
    <cellStyle name="Normal 9 2 4 5 3" xfId="6127" xr:uid="{00000000-0005-0000-0000-00007C1F0000}"/>
    <cellStyle name="Normal 9 2 4 5 3 2" xfId="15453" xr:uid="{F8129F07-4839-4F14-93D0-F246346CD8B2}"/>
    <cellStyle name="Normal 9 2 4 5 4" xfId="11236" xr:uid="{6B2F5018-A72C-48BB-9E1E-26BD8D1471B6}"/>
    <cellStyle name="Normal 9 2 4 6" xfId="2234" xr:uid="{00000000-0005-0000-0000-00007D1F0000}"/>
    <cellStyle name="Normal 9 2 4 6 2" xfId="4463" xr:uid="{00000000-0005-0000-0000-00007E1F0000}"/>
    <cellStyle name="Normal 9 2 4 6 2 2" xfId="8685" xr:uid="{00000000-0005-0000-0000-00007F1F0000}"/>
    <cellStyle name="Normal 9 2 4 6 2 2 2" xfId="18011" xr:uid="{B939529E-D3B6-4A9F-AFCC-874AB78CD2A7}"/>
    <cellStyle name="Normal 9 2 4 6 2 3" xfId="13794" xr:uid="{0E4C9745-6799-451F-9E68-D6822F5A6A0E}"/>
    <cellStyle name="Normal 9 2 4 6 3" xfId="6540" xr:uid="{00000000-0005-0000-0000-0000801F0000}"/>
    <cellStyle name="Normal 9 2 4 6 3 2" xfId="15866" xr:uid="{ACF66FA8-876F-41FE-919F-B8E19217F9C1}"/>
    <cellStyle name="Normal 9 2 4 6 4" xfId="11649" xr:uid="{A2A74799-4507-4C5B-ADEC-642A51194338}"/>
    <cellStyle name="Normal 9 2 4 7" xfId="2670" xr:uid="{00000000-0005-0000-0000-0000811F0000}"/>
    <cellStyle name="Normal 9 2 4 7 2" xfId="6953" xr:uid="{00000000-0005-0000-0000-0000821F0000}"/>
    <cellStyle name="Normal 9 2 4 7 2 2" xfId="16279" xr:uid="{1294C8B1-67CE-4CA0-B220-2D218E86E7B9}"/>
    <cellStyle name="Normal 9 2 4 7 3" xfId="12062" xr:uid="{6092B1CF-D2DD-4261-96EC-32E435560258}"/>
    <cellStyle name="Normal 9 2 4 8" xfId="4888" xr:uid="{00000000-0005-0000-0000-0000831F0000}"/>
    <cellStyle name="Normal 9 2 4 8 2" xfId="14214" xr:uid="{EDC209D2-D513-47DB-8362-FF86E64B67C1}"/>
    <cellStyle name="Normal 9 2 4 9" xfId="8857" xr:uid="{D785C0E6-B403-4CCC-AB0B-78E822EF1E40}"/>
    <cellStyle name="Normal 9 2 4 9 2" xfId="18181" xr:uid="{440E0E57-2DFB-486E-B761-D65E53444006}"/>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2 2 2" xfId="16774" xr:uid="{5D5158C4-918C-4E42-92E2-12A45FCE091B}"/>
    <cellStyle name="Normal 9 2 5 2 2 3" xfId="12557" xr:uid="{A6F71686-6C12-42D7-9524-0C5998F06C72}"/>
    <cellStyle name="Normal 9 2 5 2 3" xfId="5303" xr:uid="{00000000-0005-0000-0000-0000881F0000}"/>
    <cellStyle name="Normal 9 2 5 2 3 2" xfId="14629" xr:uid="{66FFC5E0-5128-4D2E-B359-D5EF833DC820}"/>
    <cellStyle name="Normal 9 2 5 2 4" xfId="9398" xr:uid="{5B2A416E-986C-4898-8893-9EAFDDDBCDD4}"/>
    <cellStyle name="Normal 9 2 5 2 4 2" xfId="18713" xr:uid="{C55C6E03-E348-4E61-8A7D-6D01FBB03ABF}"/>
    <cellStyle name="Normal 9 2 5 2 5" xfId="10412" xr:uid="{C4E85507-62D3-4D6C-A645-6AAD2DBDAFC6}"/>
    <cellStyle name="Normal 9 2 5 3" xfId="1409" xr:uid="{00000000-0005-0000-0000-0000891F0000}"/>
    <cellStyle name="Normal 9 2 5 3 2" xfId="3639" xr:uid="{00000000-0005-0000-0000-00008A1F0000}"/>
    <cellStyle name="Normal 9 2 5 3 2 2" xfId="7861" xr:uid="{00000000-0005-0000-0000-00008B1F0000}"/>
    <cellStyle name="Normal 9 2 5 3 2 2 2" xfId="17187" xr:uid="{9E41CE5D-0B2D-4577-AF56-BB5C9ADC471D}"/>
    <cellStyle name="Normal 9 2 5 3 2 3" xfId="12970" xr:uid="{0B9A07EB-8253-4B59-A7B2-D2597A43D05A}"/>
    <cellStyle name="Normal 9 2 5 3 3" xfId="5716" xr:uid="{00000000-0005-0000-0000-00008C1F0000}"/>
    <cellStyle name="Normal 9 2 5 3 3 2" xfId="15042" xr:uid="{A5D558C5-20A8-4D1A-936C-824A6573C0FB}"/>
    <cellStyle name="Normal 9 2 5 3 4" xfId="10825" xr:uid="{AD11A0C7-F9F0-46E9-B083-229B167C6CA1}"/>
    <cellStyle name="Normal 9 2 5 4" xfId="1822" xr:uid="{00000000-0005-0000-0000-00008D1F0000}"/>
    <cellStyle name="Normal 9 2 5 4 2" xfId="4052" xr:uid="{00000000-0005-0000-0000-00008E1F0000}"/>
    <cellStyle name="Normal 9 2 5 4 2 2" xfId="8274" xr:uid="{00000000-0005-0000-0000-00008F1F0000}"/>
    <cellStyle name="Normal 9 2 5 4 2 2 2" xfId="17600" xr:uid="{3A4CE4D5-F43E-46E2-A8A9-1C0657E90DB9}"/>
    <cellStyle name="Normal 9 2 5 4 2 3" xfId="13383" xr:uid="{A98069E8-5637-4B80-B4D9-DBCE0268B766}"/>
    <cellStyle name="Normal 9 2 5 4 3" xfId="6129" xr:uid="{00000000-0005-0000-0000-0000901F0000}"/>
    <cellStyle name="Normal 9 2 5 4 3 2" xfId="15455" xr:uid="{D78BB3B4-9D22-437E-B194-07219D222157}"/>
    <cellStyle name="Normal 9 2 5 4 4" xfId="11238" xr:uid="{07866B68-3784-4C94-B258-B86D437BF055}"/>
    <cellStyle name="Normal 9 2 5 5" xfId="2236" xr:uid="{00000000-0005-0000-0000-0000911F0000}"/>
    <cellStyle name="Normal 9 2 5 5 2" xfId="4465" xr:uid="{00000000-0005-0000-0000-0000921F0000}"/>
    <cellStyle name="Normal 9 2 5 5 2 2" xfId="8687" xr:uid="{00000000-0005-0000-0000-0000931F0000}"/>
    <cellStyle name="Normal 9 2 5 5 2 2 2" xfId="18013" xr:uid="{52AAAB25-1092-4608-8D4B-EEB5585DFE87}"/>
    <cellStyle name="Normal 9 2 5 5 2 3" xfId="13796" xr:uid="{F95FB37F-4284-4A01-83C2-2C478C959B3D}"/>
    <cellStyle name="Normal 9 2 5 5 3" xfId="6542" xr:uid="{00000000-0005-0000-0000-0000941F0000}"/>
    <cellStyle name="Normal 9 2 5 5 3 2" xfId="15868" xr:uid="{E4E042DF-23AC-467A-A18C-32D2FDEFE4EC}"/>
    <cellStyle name="Normal 9 2 5 5 4" xfId="11651" xr:uid="{2A56A284-FB94-47DD-8CE7-6887B044400C}"/>
    <cellStyle name="Normal 9 2 5 6" xfId="2672" xr:uid="{00000000-0005-0000-0000-0000951F0000}"/>
    <cellStyle name="Normal 9 2 5 6 2" xfId="6955" xr:uid="{00000000-0005-0000-0000-0000961F0000}"/>
    <cellStyle name="Normal 9 2 5 6 2 2" xfId="16281" xr:uid="{CBBB6EA6-8785-4EEF-8E3B-F0A0A1651AB6}"/>
    <cellStyle name="Normal 9 2 5 6 3" xfId="12064" xr:uid="{F5819A3E-B85B-49E0-BB5E-89EA2E81EE28}"/>
    <cellStyle name="Normal 9 2 5 7" xfId="4890" xr:uid="{00000000-0005-0000-0000-0000971F0000}"/>
    <cellStyle name="Normal 9 2 5 7 2" xfId="14216" xr:uid="{C24AB7FC-64CB-4C0F-896F-498149C0DE40}"/>
    <cellStyle name="Normal 9 2 5 8" xfId="8973" xr:uid="{BA9464C2-72F7-4B38-B1BD-6986FFA433D9}"/>
    <cellStyle name="Normal 9 2 5 8 2" xfId="18297" xr:uid="{491FC23E-D829-41EA-838B-E1859E3CFE24}"/>
    <cellStyle name="Normal 9 2 5 9" xfId="9999" xr:uid="{42D66AA2-49FC-46A9-8AE5-DD250226F77E}"/>
    <cellStyle name="Normal 9 2 6" xfId="978" xr:uid="{00000000-0005-0000-0000-0000981F0000}"/>
    <cellStyle name="Normal 9 2 6 2" xfId="3211" xr:uid="{00000000-0005-0000-0000-0000991F0000}"/>
    <cellStyle name="Normal 9 2 6 2 2" xfId="7433" xr:uid="{00000000-0005-0000-0000-00009A1F0000}"/>
    <cellStyle name="Normal 9 2 6 2 2 2" xfId="16759" xr:uid="{87775287-33D1-4A19-8350-C98690249336}"/>
    <cellStyle name="Normal 9 2 6 2 3" xfId="12542" xr:uid="{5FE4C383-E1F5-49E6-B7A7-9F67CC73D2A9}"/>
    <cellStyle name="Normal 9 2 6 3" xfId="5288" xr:uid="{00000000-0005-0000-0000-00009B1F0000}"/>
    <cellStyle name="Normal 9 2 6 3 2" xfId="14614" xr:uid="{8B3529BA-94F5-44BD-8F4B-63A773E40D60}"/>
    <cellStyle name="Normal 9 2 6 4" xfId="9176" xr:uid="{F3933A08-5B20-47C9-B0FC-7B73F4B0BA7D}"/>
    <cellStyle name="Normal 9 2 6 4 2" xfId="18494" xr:uid="{A2E322DC-7FA2-4515-8359-2446922256EA}"/>
    <cellStyle name="Normal 9 2 6 5" xfId="10397" xr:uid="{9CDB95E4-BEC0-4476-B62F-519265E37B65}"/>
    <cellStyle name="Normal 9 2 7" xfId="1394" xr:uid="{00000000-0005-0000-0000-00009C1F0000}"/>
    <cellStyle name="Normal 9 2 7 2" xfId="3624" xr:uid="{00000000-0005-0000-0000-00009D1F0000}"/>
    <cellStyle name="Normal 9 2 7 2 2" xfId="7846" xr:uid="{00000000-0005-0000-0000-00009E1F0000}"/>
    <cellStyle name="Normal 9 2 7 2 2 2" xfId="17172" xr:uid="{6A4F0A4B-A308-4E5F-8CDE-ED551F8C4396}"/>
    <cellStyle name="Normal 9 2 7 2 3" xfId="12955" xr:uid="{DEAE0D50-2002-4C7E-96AF-679E09A9A31D}"/>
    <cellStyle name="Normal 9 2 7 3" xfId="5701" xr:uid="{00000000-0005-0000-0000-00009F1F0000}"/>
    <cellStyle name="Normal 9 2 7 3 2" xfId="15027" xr:uid="{F264B5D8-7D8B-4348-B0FA-FEAD6BF3E47D}"/>
    <cellStyle name="Normal 9 2 7 4" xfId="10810" xr:uid="{B6E793BE-5EFC-4ABE-A115-1932660EDFD3}"/>
    <cellStyle name="Normal 9 2 8" xfId="1807" xr:uid="{00000000-0005-0000-0000-0000A01F0000}"/>
    <cellStyle name="Normal 9 2 8 2" xfId="4037" xr:uid="{00000000-0005-0000-0000-0000A11F0000}"/>
    <cellStyle name="Normal 9 2 8 2 2" xfId="8259" xr:uid="{00000000-0005-0000-0000-0000A21F0000}"/>
    <cellStyle name="Normal 9 2 8 2 2 2" xfId="17585" xr:uid="{8C1B5523-BF72-47AE-9FBA-FFAD5CA2090C}"/>
    <cellStyle name="Normal 9 2 8 2 3" xfId="13368" xr:uid="{604C2882-07B4-420A-A3FE-E5E069ABCBAD}"/>
    <cellStyle name="Normal 9 2 8 3" xfId="6114" xr:uid="{00000000-0005-0000-0000-0000A31F0000}"/>
    <cellStyle name="Normal 9 2 8 3 2" xfId="15440" xr:uid="{EE5C8AE6-83E3-4429-AA6C-E562272BDA44}"/>
    <cellStyle name="Normal 9 2 8 4" xfId="11223" xr:uid="{8DBFFD3F-3CE1-41C0-A609-56CEAC863CB3}"/>
    <cellStyle name="Normal 9 2 9" xfId="2221" xr:uid="{00000000-0005-0000-0000-0000A41F0000}"/>
    <cellStyle name="Normal 9 2 9 2" xfId="4450" xr:uid="{00000000-0005-0000-0000-0000A51F0000}"/>
    <cellStyle name="Normal 9 2 9 2 2" xfId="8672" xr:uid="{00000000-0005-0000-0000-0000A61F0000}"/>
    <cellStyle name="Normal 9 2 9 2 2 2" xfId="17998" xr:uid="{32FCED3E-6E6F-4964-B4F8-6AE4F5CC973A}"/>
    <cellStyle name="Normal 9 2 9 2 3" xfId="13781" xr:uid="{71319BB0-21F0-4FFF-A389-FB0C6A044E51}"/>
    <cellStyle name="Normal 9 2 9 3" xfId="6527" xr:uid="{00000000-0005-0000-0000-0000A71F0000}"/>
    <cellStyle name="Normal 9 2 9 3 2" xfId="15853" xr:uid="{3E92DF1E-F0B1-4620-BACA-4C08EE3398C9}"/>
    <cellStyle name="Normal 9 2 9 4" xfId="11636" xr:uid="{323C8B81-7E03-4E7E-BEAF-5CC63332ABFA}"/>
    <cellStyle name="Normal 9 3" xfId="527" xr:uid="{00000000-0005-0000-0000-0000A81F0000}"/>
    <cellStyle name="Normal 9 3 10" xfId="4891" xr:uid="{00000000-0005-0000-0000-0000A91F0000}"/>
    <cellStyle name="Normal 9 3 10 2" xfId="14217" xr:uid="{3522EFE0-9FB3-44FC-AD91-4F428B5D2225}"/>
    <cellStyle name="Normal 9 3 11" xfId="8777" xr:uid="{1F3D7E21-FC22-4F0C-9371-3D8250746BB7}"/>
    <cellStyle name="Normal 9 3 11 2" xfId="18101" xr:uid="{50BD1CE3-5F28-4B89-B92F-789E1DA2AA29}"/>
    <cellStyle name="Normal 9 3 12" xfId="10000" xr:uid="{A72FC7E9-8455-4680-8C22-A2BE48B4318D}"/>
    <cellStyle name="Normal 9 3 2" xfId="528" xr:uid="{00000000-0005-0000-0000-0000AA1F0000}"/>
    <cellStyle name="Normal 9 3 2 10" xfId="8840" xr:uid="{94797BE2-1721-4871-A768-79D4D45F48BB}"/>
    <cellStyle name="Normal 9 3 2 10 2" xfId="18164" xr:uid="{36D9B8D8-FE2D-440C-985D-FE0D14BC4726}"/>
    <cellStyle name="Normal 9 3 2 11" xfId="10001" xr:uid="{4877DEB0-03DF-4D72-BD95-F664222B9D94}"/>
    <cellStyle name="Normal 9 3 2 2" xfId="529" xr:uid="{00000000-0005-0000-0000-0000AB1F0000}"/>
    <cellStyle name="Normal 9 3 2 2 10" xfId="10002" xr:uid="{79B184E3-31E3-4EA8-BC17-BA4C763DEA61}"/>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2 2 2" xfId="16778" xr:uid="{9E09014A-ABC5-4A7E-A1E9-68E6108A44D2}"/>
    <cellStyle name="Normal 9 3 2 2 2 2 2 3" xfId="12561" xr:uid="{AD81588B-B3C6-45B4-B985-ABB4AE973800}"/>
    <cellStyle name="Normal 9 3 2 2 2 2 3" xfId="5307" xr:uid="{00000000-0005-0000-0000-0000B01F0000}"/>
    <cellStyle name="Normal 9 3 2 2 2 2 3 2" xfId="14633" xr:uid="{60F4283F-0673-4BB0-A00B-918D9FC8FEAD}"/>
    <cellStyle name="Normal 9 3 2 2 2 2 4" xfId="9575" xr:uid="{DA05DE06-1987-4B8E-8439-C692853FF296}"/>
    <cellStyle name="Normal 9 3 2 2 2 2 4 2" xfId="18890" xr:uid="{7332D67F-EAE0-41B3-A2B2-BB1E67D0FB63}"/>
    <cellStyle name="Normal 9 3 2 2 2 2 5" xfId="10416" xr:uid="{4770D142-D9BE-44E6-947B-8BEE7FDA1211}"/>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2 2 2" xfId="17191" xr:uid="{35FD7E8A-BE89-4BA6-A44B-A28D16341C13}"/>
    <cellStyle name="Normal 9 3 2 2 2 3 2 3" xfId="12974" xr:uid="{BA62B403-30B4-48D0-8FDA-29A25BFD3C6D}"/>
    <cellStyle name="Normal 9 3 2 2 2 3 3" xfId="5720" xr:uid="{00000000-0005-0000-0000-0000B41F0000}"/>
    <cellStyle name="Normal 9 3 2 2 2 3 3 2" xfId="15046" xr:uid="{8A1B968F-A029-4B70-95A1-4E38E86CB6F1}"/>
    <cellStyle name="Normal 9 3 2 2 2 3 4" xfId="10829" xr:uid="{D5113CE9-090D-4F69-AA9C-E94ED6870949}"/>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2 2 2" xfId="17604" xr:uid="{5AB7FD8C-1906-43E3-94A8-EB85D53DCCBE}"/>
    <cellStyle name="Normal 9 3 2 2 2 4 2 3" xfId="13387" xr:uid="{9A90C3ED-415B-4B2D-B6A0-98110D87F2CF}"/>
    <cellStyle name="Normal 9 3 2 2 2 4 3" xfId="6133" xr:uid="{00000000-0005-0000-0000-0000B81F0000}"/>
    <cellStyle name="Normal 9 3 2 2 2 4 3 2" xfId="15459" xr:uid="{DA3E5A43-EFD7-457C-AA52-9861E726904C}"/>
    <cellStyle name="Normal 9 3 2 2 2 4 4" xfId="11242" xr:uid="{DEC2764C-18A4-41B7-B7D2-3DB1C90CDF24}"/>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2 2 2" xfId="18017" xr:uid="{86BC10DC-A483-4B91-9A91-4E62DF4CFF5D}"/>
    <cellStyle name="Normal 9 3 2 2 2 5 2 3" xfId="13800" xr:uid="{6A1A5CF5-034C-4061-B9C6-7B27FF0568BC}"/>
    <cellStyle name="Normal 9 3 2 2 2 5 3" xfId="6546" xr:uid="{00000000-0005-0000-0000-0000BC1F0000}"/>
    <cellStyle name="Normal 9 3 2 2 2 5 3 2" xfId="15872" xr:uid="{7C333190-0C70-4F91-A46D-6C7B9EFC2F2B}"/>
    <cellStyle name="Normal 9 3 2 2 2 5 4" xfId="11655" xr:uid="{80E3533C-FAE6-4E69-B6AC-B0BF2E2BF85A}"/>
    <cellStyle name="Normal 9 3 2 2 2 6" xfId="2676" xr:uid="{00000000-0005-0000-0000-0000BD1F0000}"/>
    <cellStyle name="Normal 9 3 2 2 2 6 2" xfId="6959" xr:uid="{00000000-0005-0000-0000-0000BE1F0000}"/>
    <cellStyle name="Normal 9 3 2 2 2 6 2 2" xfId="16285" xr:uid="{527BB381-7A3C-407F-BFE9-D9168631A7C9}"/>
    <cellStyle name="Normal 9 3 2 2 2 6 3" xfId="12068" xr:uid="{F3F8D7EF-3483-4C8F-B6D6-443EC781DFE4}"/>
    <cellStyle name="Normal 9 3 2 2 2 7" xfId="4894" xr:uid="{00000000-0005-0000-0000-0000BF1F0000}"/>
    <cellStyle name="Normal 9 3 2 2 2 7 2" xfId="14220" xr:uid="{F7F4B8B6-E345-4E4A-AC8D-FDEB41D9DBA5}"/>
    <cellStyle name="Normal 9 3 2 2 2 8" xfId="9150" xr:uid="{F54F74BE-A583-4C94-A198-8E0D27AD7F4F}"/>
    <cellStyle name="Normal 9 3 2 2 2 8 2" xfId="18474" xr:uid="{70A19869-E398-4EDD-9092-82221C951DCA}"/>
    <cellStyle name="Normal 9 3 2 2 2 9" xfId="10003" xr:uid="{52768856-8974-49C4-BE62-290D1566E6DF}"/>
    <cellStyle name="Normal 9 3 2 2 3" xfId="996" xr:uid="{00000000-0005-0000-0000-0000C01F0000}"/>
    <cellStyle name="Normal 9 3 2 2 3 2" xfId="3229" xr:uid="{00000000-0005-0000-0000-0000C11F0000}"/>
    <cellStyle name="Normal 9 3 2 2 3 2 2" xfId="7451" xr:uid="{00000000-0005-0000-0000-0000C21F0000}"/>
    <cellStyle name="Normal 9 3 2 2 3 2 2 2" xfId="16777" xr:uid="{930D4F87-DAFF-44E5-A02E-98F50ED4BBAB}"/>
    <cellStyle name="Normal 9 3 2 2 3 2 3" xfId="12560" xr:uid="{EF19CFBC-20AE-4721-A474-9B2980AB1EB7}"/>
    <cellStyle name="Normal 9 3 2 2 3 3" xfId="5306" xr:uid="{00000000-0005-0000-0000-0000C31F0000}"/>
    <cellStyle name="Normal 9 3 2 2 3 3 2" xfId="14632" xr:uid="{820EF26A-2E2E-4F99-B5D4-4775CB2D06BE}"/>
    <cellStyle name="Normal 9 3 2 2 3 4" xfId="9368" xr:uid="{B3189122-1774-442D-BD5B-8DA329618536}"/>
    <cellStyle name="Normal 9 3 2 2 3 4 2" xfId="18683" xr:uid="{E697DBBC-07B1-44BE-9BB9-5C48F1023963}"/>
    <cellStyle name="Normal 9 3 2 2 3 5" xfId="10415" xr:uid="{F5D16B33-7DE1-45B2-B279-1C2E4873780A}"/>
    <cellStyle name="Normal 9 3 2 2 4" xfId="1412" xr:uid="{00000000-0005-0000-0000-0000C41F0000}"/>
    <cellStyle name="Normal 9 3 2 2 4 2" xfId="3642" xr:uid="{00000000-0005-0000-0000-0000C51F0000}"/>
    <cellStyle name="Normal 9 3 2 2 4 2 2" xfId="7864" xr:uid="{00000000-0005-0000-0000-0000C61F0000}"/>
    <cellStyle name="Normal 9 3 2 2 4 2 2 2" xfId="17190" xr:uid="{31070DB0-4184-4E09-9344-848E48F930C5}"/>
    <cellStyle name="Normal 9 3 2 2 4 2 3" xfId="12973" xr:uid="{1AEC74AD-EC3A-4A51-95A5-42E7385AD3FD}"/>
    <cellStyle name="Normal 9 3 2 2 4 3" xfId="5719" xr:uid="{00000000-0005-0000-0000-0000C71F0000}"/>
    <cellStyle name="Normal 9 3 2 2 4 3 2" xfId="15045" xr:uid="{B5AFBBB3-A88C-4166-A750-B83EC2BC5D59}"/>
    <cellStyle name="Normal 9 3 2 2 4 4" xfId="10828" xr:uid="{32C63812-CFD5-4EB1-A803-32A022EDC668}"/>
    <cellStyle name="Normal 9 3 2 2 5" xfId="1825" xr:uid="{00000000-0005-0000-0000-0000C81F0000}"/>
    <cellStyle name="Normal 9 3 2 2 5 2" xfId="4055" xr:uid="{00000000-0005-0000-0000-0000C91F0000}"/>
    <cellStyle name="Normal 9 3 2 2 5 2 2" xfId="8277" xr:uid="{00000000-0005-0000-0000-0000CA1F0000}"/>
    <cellStyle name="Normal 9 3 2 2 5 2 2 2" xfId="17603" xr:uid="{F5A299B3-D0A5-46BD-A02E-61E6F731C4BE}"/>
    <cellStyle name="Normal 9 3 2 2 5 2 3" xfId="13386" xr:uid="{0FC9F1C1-C321-42DB-8161-C1369F97058E}"/>
    <cellStyle name="Normal 9 3 2 2 5 3" xfId="6132" xr:uid="{00000000-0005-0000-0000-0000CB1F0000}"/>
    <cellStyle name="Normal 9 3 2 2 5 3 2" xfId="15458" xr:uid="{5E22B4DE-57F6-442E-B1EB-0BD9C3021079}"/>
    <cellStyle name="Normal 9 3 2 2 5 4" xfId="11241" xr:uid="{CE4F4928-EA50-44CF-A66A-1285BD47C1B3}"/>
    <cellStyle name="Normal 9 3 2 2 6" xfId="2239" xr:uid="{00000000-0005-0000-0000-0000CC1F0000}"/>
    <cellStyle name="Normal 9 3 2 2 6 2" xfId="4468" xr:uid="{00000000-0005-0000-0000-0000CD1F0000}"/>
    <cellStyle name="Normal 9 3 2 2 6 2 2" xfId="8690" xr:uid="{00000000-0005-0000-0000-0000CE1F0000}"/>
    <cellStyle name="Normal 9 3 2 2 6 2 2 2" xfId="18016" xr:uid="{AD0570BC-BA9E-45BA-8CBD-5336BBC9C6AC}"/>
    <cellStyle name="Normal 9 3 2 2 6 2 3" xfId="13799" xr:uid="{58D1853B-7789-430A-9914-C5D00FA67B0B}"/>
    <cellStyle name="Normal 9 3 2 2 6 3" xfId="6545" xr:uid="{00000000-0005-0000-0000-0000CF1F0000}"/>
    <cellStyle name="Normal 9 3 2 2 6 3 2" xfId="15871" xr:uid="{45BE5693-2DBD-4731-8770-5ABB5D0D7202}"/>
    <cellStyle name="Normal 9 3 2 2 6 4" xfId="11654" xr:uid="{395B5D2E-11B3-474F-AE92-5F1BCEA7D7A5}"/>
    <cellStyle name="Normal 9 3 2 2 7" xfId="2675" xr:uid="{00000000-0005-0000-0000-0000D01F0000}"/>
    <cellStyle name="Normal 9 3 2 2 7 2" xfId="6958" xr:uid="{00000000-0005-0000-0000-0000D11F0000}"/>
    <cellStyle name="Normal 9 3 2 2 7 2 2" xfId="16284" xr:uid="{20D5A6B6-6BD3-4C34-A457-53CC04C20C45}"/>
    <cellStyle name="Normal 9 3 2 2 7 3" xfId="12067" xr:uid="{7B792DE4-EF50-4073-8112-4B7CB7652FD9}"/>
    <cellStyle name="Normal 9 3 2 2 8" xfId="4893" xr:uid="{00000000-0005-0000-0000-0000D21F0000}"/>
    <cellStyle name="Normal 9 3 2 2 8 2" xfId="14219" xr:uid="{8AD2B918-E8C9-4D51-8B89-2D30C7BD0BB0}"/>
    <cellStyle name="Normal 9 3 2 2 9" xfId="8943" xr:uid="{1E59706A-169E-45B8-A6E4-1A0514B9DDBD}"/>
    <cellStyle name="Normal 9 3 2 2 9 2" xfId="18267" xr:uid="{9A6CCC88-062D-4F50-8DA5-6823D636E3F3}"/>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2 2 2" xfId="16779" xr:uid="{FEEF93B1-0D04-4418-B7C6-6CD4BF0BB056}"/>
    <cellStyle name="Normal 9 3 2 3 2 2 3" xfId="12562" xr:uid="{7B309A7E-9D2A-41FC-AC92-0C3D74210C4F}"/>
    <cellStyle name="Normal 9 3 2 3 2 3" xfId="5308" xr:uid="{00000000-0005-0000-0000-0000D71F0000}"/>
    <cellStyle name="Normal 9 3 2 3 2 3 2" xfId="14634" xr:uid="{5F366571-996C-4603-80C1-A64CFEC42A76}"/>
    <cellStyle name="Normal 9 3 2 3 2 4" xfId="9472" xr:uid="{427A8E71-9BC4-47C0-A855-6886AF96C97E}"/>
    <cellStyle name="Normal 9 3 2 3 2 4 2" xfId="18787" xr:uid="{F9C1849A-A801-4DA5-B449-CB7A7546D4F4}"/>
    <cellStyle name="Normal 9 3 2 3 2 5" xfId="10417" xr:uid="{CAB925F0-6A75-46DC-B5E8-44E4864C66AA}"/>
    <cellStyle name="Normal 9 3 2 3 3" xfId="1414" xr:uid="{00000000-0005-0000-0000-0000D81F0000}"/>
    <cellStyle name="Normal 9 3 2 3 3 2" xfId="3644" xr:uid="{00000000-0005-0000-0000-0000D91F0000}"/>
    <cellStyle name="Normal 9 3 2 3 3 2 2" xfId="7866" xr:uid="{00000000-0005-0000-0000-0000DA1F0000}"/>
    <cellStyle name="Normal 9 3 2 3 3 2 2 2" xfId="17192" xr:uid="{5C5E4E22-40E0-4140-BE29-6C9B8D857BF2}"/>
    <cellStyle name="Normal 9 3 2 3 3 2 3" xfId="12975" xr:uid="{4D0DFA41-827F-4F30-9A6D-94FC4E0816E6}"/>
    <cellStyle name="Normal 9 3 2 3 3 3" xfId="5721" xr:uid="{00000000-0005-0000-0000-0000DB1F0000}"/>
    <cellStyle name="Normal 9 3 2 3 3 3 2" xfId="15047" xr:uid="{EA7901D5-8E8D-4EF8-A4FB-3EED06E061BA}"/>
    <cellStyle name="Normal 9 3 2 3 3 4" xfId="10830" xr:uid="{B479F7F6-B2A6-4142-9E69-D15F559680BA}"/>
    <cellStyle name="Normal 9 3 2 3 4" xfId="1827" xr:uid="{00000000-0005-0000-0000-0000DC1F0000}"/>
    <cellStyle name="Normal 9 3 2 3 4 2" xfId="4057" xr:uid="{00000000-0005-0000-0000-0000DD1F0000}"/>
    <cellStyle name="Normal 9 3 2 3 4 2 2" xfId="8279" xr:uid="{00000000-0005-0000-0000-0000DE1F0000}"/>
    <cellStyle name="Normal 9 3 2 3 4 2 2 2" xfId="17605" xr:uid="{0C0A5B24-4A08-4A27-B840-467066B0B579}"/>
    <cellStyle name="Normal 9 3 2 3 4 2 3" xfId="13388" xr:uid="{9ADA6914-764B-4842-9451-F2FE0BD70318}"/>
    <cellStyle name="Normal 9 3 2 3 4 3" xfId="6134" xr:uid="{00000000-0005-0000-0000-0000DF1F0000}"/>
    <cellStyle name="Normal 9 3 2 3 4 3 2" xfId="15460" xr:uid="{6708496D-4DE2-4364-A3EC-04E096B6830B}"/>
    <cellStyle name="Normal 9 3 2 3 4 4" xfId="11243" xr:uid="{A2E905AB-88C6-4A3C-AC3C-07A571419D6B}"/>
    <cellStyle name="Normal 9 3 2 3 5" xfId="2241" xr:uid="{00000000-0005-0000-0000-0000E01F0000}"/>
    <cellStyle name="Normal 9 3 2 3 5 2" xfId="4470" xr:uid="{00000000-0005-0000-0000-0000E11F0000}"/>
    <cellStyle name="Normal 9 3 2 3 5 2 2" xfId="8692" xr:uid="{00000000-0005-0000-0000-0000E21F0000}"/>
    <cellStyle name="Normal 9 3 2 3 5 2 2 2" xfId="18018" xr:uid="{F4A4D713-6246-4F0F-A99B-370CC1A3A92B}"/>
    <cellStyle name="Normal 9 3 2 3 5 2 3" xfId="13801" xr:uid="{56538AC8-FEFD-48AE-94F3-149BC01C20D9}"/>
    <cellStyle name="Normal 9 3 2 3 5 3" xfId="6547" xr:uid="{00000000-0005-0000-0000-0000E31F0000}"/>
    <cellStyle name="Normal 9 3 2 3 5 3 2" xfId="15873" xr:uid="{64ACC7AD-32DB-4B81-B098-B19B50F2EABD}"/>
    <cellStyle name="Normal 9 3 2 3 5 4" xfId="11656" xr:uid="{05C2A154-DE87-4D47-BD1B-D0CA30860AA3}"/>
    <cellStyle name="Normal 9 3 2 3 6" xfId="2677" xr:uid="{00000000-0005-0000-0000-0000E41F0000}"/>
    <cellStyle name="Normal 9 3 2 3 6 2" xfId="6960" xr:uid="{00000000-0005-0000-0000-0000E51F0000}"/>
    <cellStyle name="Normal 9 3 2 3 6 2 2" xfId="16286" xr:uid="{720E217C-2A57-4723-8D98-DBC447B64AD2}"/>
    <cellStyle name="Normal 9 3 2 3 6 3" xfId="12069" xr:uid="{88C938DA-A1D0-4AD4-A798-837EF2599134}"/>
    <cellStyle name="Normal 9 3 2 3 7" xfId="4895" xr:uid="{00000000-0005-0000-0000-0000E61F0000}"/>
    <cellStyle name="Normal 9 3 2 3 7 2" xfId="14221" xr:uid="{6A4D83A0-7FD0-48D5-9706-C0A4F9A84E84}"/>
    <cellStyle name="Normal 9 3 2 3 8" xfId="9047" xr:uid="{4CBBBE80-D24B-484D-910E-0072EA0E95DD}"/>
    <cellStyle name="Normal 9 3 2 3 8 2" xfId="18371" xr:uid="{607CE5B4-DD6B-4FF8-A9DC-AE52534D64D3}"/>
    <cellStyle name="Normal 9 3 2 3 9" xfId="10004" xr:uid="{E5DD83CC-CA9D-41D3-97C9-5AA7A4A94589}"/>
    <cellStyle name="Normal 9 3 2 4" xfId="995" xr:uid="{00000000-0005-0000-0000-0000E71F0000}"/>
    <cellStyle name="Normal 9 3 2 4 2" xfId="3228" xr:uid="{00000000-0005-0000-0000-0000E81F0000}"/>
    <cellStyle name="Normal 9 3 2 4 2 2" xfId="7450" xr:uid="{00000000-0005-0000-0000-0000E91F0000}"/>
    <cellStyle name="Normal 9 3 2 4 2 2 2" xfId="16776" xr:uid="{00C53D14-A0D4-45F1-8AD9-992947376D1A}"/>
    <cellStyle name="Normal 9 3 2 4 2 3" xfId="12559" xr:uid="{1907F944-65D9-4093-9D94-7C0462C3C5DF}"/>
    <cellStyle name="Normal 9 3 2 4 3" xfId="5305" xr:uid="{00000000-0005-0000-0000-0000EA1F0000}"/>
    <cellStyle name="Normal 9 3 2 4 3 2" xfId="14631" xr:uid="{F25C8903-36E4-4477-B3F6-124248421F60}"/>
    <cellStyle name="Normal 9 3 2 4 4" xfId="9265" xr:uid="{BF00A9B8-67BA-48F6-8D48-0E4380D60577}"/>
    <cellStyle name="Normal 9 3 2 4 4 2" xfId="18580" xr:uid="{44340BF8-170D-4A68-A86D-2D95E7819614}"/>
    <cellStyle name="Normal 9 3 2 4 5" xfId="10414" xr:uid="{C311B768-BD57-43EF-A0B4-B43DB12D08A7}"/>
    <cellStyle name="Normal 9 3 2 5" xfId="1411" xr:uid="{00000000-0005-0000-0000-0000EB1F0000}"/>
    <cellStyle name="Normal 9 3 2 5 2" xfId="3641" xr:uid="{00000000-0005-0000-0000-0000EC1F0000}"/>
    <cellStyle name="Normal 9 3 2 5 2 2" xfId="7863" xr:uid="{00000000-0005-0000-0000-0000ED1F0000}"/>
    <cellStyle name="Normal 9 3 2 5 2 2 2" xfId="17189" xr:uid="{B4D65F79-FDE5-40DA-9C05-913EBA8A395A}"/>
    <cellStyle name="Normal 9 3 2 5 2 3" xfId="12972" xr:uid="{FEF36C42-7DDB-485E-9370-0A1419ABBAF4}"/>
    <cellStyle name="Normal 9 3 2 5 3" xfId="5718" xr:uid="{00000000-0005-0000-0000-0000EE1F0000}"/>
    <cellStyle name="Normal 9 3 2 5 3 2" xfId="15044" xr:uid="{893D7EF2-3871-43CC-B1E4-74E0355A2F4E}"/>
    <cellStyle name="Normal 9 3 2 5 4" xfId="10827" xr:uid="{65B60057-D544-4924-9AA1-9FAC97317BA0}"/>
    <cellStyle name="Normal 9 3 2 6" xfId="1824" xr:uid="{00000000-0005-0000-0000-0000EF1F0000}"/>
    <cellStyle name="Normal 9 3 2 6 2" xfId="4054" xr:uid="{00000000-0005-0000-0000-0000F01F0000}"/>
    <cellStyle name="Normal 9 3 2 6 2 2" xfId="8276" xr:uid="{00000000-0005-0000-0000-0000F11F0000}"/>
    <cellStyle name="Normal 9 3 2 6 2 2 2" xfId="17602" xr:uid="{25D5C92B-F9F7-43F3-B864-C04189396CD0}"/>
    <cellStyle name="Normal 9 3 2 6 2 3" xfId="13385" xr:uid="{36C4B4C5-C6FB-4FB4-AE50-F25C8AD30DE8}"/>
    <cellStyle name="Normal 9 3 2 6 3" xfId="6131" xr:uid="{00000000-0005-0000-0000-0000F21F0000}"/>
    <cellStyle name="Normal 9 3 2 6 3 2" xfId="15457" xr:uid="{72EF324C-3515-48D6-8825-63D9BD723865}"/>
    <cellStyle name="Normal 9 3 2 6 4" xfId="11240" xr:uid="{376AC982-5377-4C22-AAEE-7D56AF70E385}"/>
    <cellStyle name="Normal 9 3 2 7" xfId="2238" xr:uid="{00000000-0005-0000-0000-0000F31F0000}"/>
    <cellStyle name="Normal 9 3 2 7 2" xfId="4467" xr:uid="{00000000-0005-0000-0000-0000F41F0000}"/>
    <cellStyle name="Normal 9 3 2 7 2 2" xfId="8689" xr:uid="{00000000-0005-0000-0000-0000F51F0000}"/>
    <cellStyle name="Normal 9 3 2 7 2 2 2" xfId="18015" xr:uid="{F43EAF9A-83F5-43A8-AFBE-516EE5A00E34}"/>
    <cellStyle name="Normal 9 3 2 7 2 3" xfId="13798" xr:uid="{C4C1C477-5A72-48DD-A00C-BE9F7DDE1E5E}"/>
    <cellStyle name="Normal 9 3 2 7 3" xfId="6544" xr:uid="{00000000-0005-0000-0000-0000F61F0000}"/>
    <cellStyle name="Normal 9 3 2 7 3 2" xfId="15870" xr:uid="{585323BD-1FDA-452E-B848-D96582A6747D}"/>
    <cellStyle name="Normal 9 3 2 7 4" xfId="11653" xr:uid="{41E547E8-B206-40C7-87A2-B4DF6C498F7E}"/>
    <cellStyle name="Normal 9 3 2 8" xfId="2674" xr:uid="{00000000-0005-0000-0000-0000F71F0000}"/>
    <cellStyle name="Normal 9 3 2 8 2" xfId="6957" xr:uid="{00000000-0005-0000-0000-0000F81F0000}"/>
    <cellStyle name="Normal 9 3 2 8 2 2" xfId="16283" xr:uid="{EE8A25A0-AD4B-4890-9558-5A57F4A30E1A}"/>
    <cellStyle name="Normal 9 3 2 8 3" xfId="12066" xr:uid="{A46BCE2F-5C60-4F9C-B972-FE321CDC5372}"/>
    <cellStyle name="Normal 9 3 2 9" xfId="4892" xr:uid="{00000000-0005-0000-0000-0000F91F0000}"/>
    <cellStyle name="Normal 9 3 2 9 2" xfId="14218" xr:uid="{CD3E8500-00F0-480B-8562-546E3BB400BD}"/>
    <cellStyle name="Normal 9 3 3" xfId="532" xr:uid="{00000000-0005-0000-0000-0000FA1F0000}"/>
    <cellStyle name="Normal 9 3 3 10" xfId="10005" xr:uid="{DB1E3D27-0A7B-40E8-BFFD-E293ADD0F222}"/>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2 2 2" xfId="16781" xr:uid="{37CD6031-4C40-4AB6-BD2F-2740ADEB9848}"/>
    <cellStyle name="Normal 9 3 3 2 2 2 3" xfId="12564" xr:uid="{61378D88-B505-49C6-AF2E-FDEFAD842AFF}"/>
    <cellStyle name="Normal 9 3 3 2 2 3" xfId="5310" xr:uid="{00000000-0005-0000-0000-0000FF1F0000}"/>
    <cellStyle name="Normal 9 3 3 2 2 3 2" xfId="14636" xr:uid="{07F42EFB-7D17-4768-B225-9B86399DE156}"/>
    <cellStyle name="Normal 9 3 3 2 2 4" xfId="9512" xr:uid="{2D87B26D-94B2-43FF-B3AD-59DF0A117D21}"/>
    <cellStyle name="Normal 9 3 3 2 2 4 2" xfId="18827" xr:uid="{ECD55D20-E790-42EC-BCAF-43723CB36486}"/>
    <cellStyle name="Normal 9 3 3 2 2 5" xfId="10419" xr:uid="{97D5AD0C-BF96-4A96-81B2-92C182B98589}"/>
    <cellStyle name="Normal 9 3 3 2 3" xfId="1416" xr:uid="{00000000-0005-0000-0000-000000200000}"/>
    <cellStyle name="Normal 9 3 3 2 3 2" xfId="3646" xr:uid="{00000000-0005-0000-0000-000001200000}"/>
    <cellStyle name="Normal 9 3 3 2 3 2 2" xfId="7868" xr:uid="{00000000-0005-0000-0000-000002200000}"/>
    <cellStyle name="Normal 9 3 3 2 3 2 2 2" xfId="17194" xr:uid="{B26235C6-E9EA-4D15-A2AE-1D190898CDF0}"/>
    <cellStyle name="Normal 9 3 3 2 3 2 3" xfId="12977" xr:uid="{607DC75F-23DE-417F-AE17-A850289631B9}"/>
    <cellStyle name="Normal 9 3 3 2 3 3" xfId="5723" xr:uid="{00000000-0005-0000-0000-000003200000}"/>
    <cellStyle name="Normal 9 3 3 2 3 3 2" xfId="15049" xr:uid="{536D8446-4D77-4BEE-8146-12FDA78F066A}"/>
    <cellStyle name="Normal 9 3 3 2 3 4" xfId="10832" xr:uid="{7F0F3FCA-3531-40B5-8475-6B78CE689B8E}"/>
    <cellStyle name="Normal 9 3 3 2 4" xfId="1829" xr:uid="{00000000-0005-0000-0000-000004200000}"/>
    <cellStyle name="Normal 9 3 3 2 4 2" xfId="4059" xr:uid="{00000000-0005-0000-0000-000005200000}"/>
    <cellStyle name="Normal 9 3 3 2 4 2 2" xfId="8281" xr:uid="{00000000-0005-0000-0000-000006200000}"/>
    <cellStyle name="Normal 9 3 3 2 4 2 2 2" xfId="17607" xr:uid="{905BB8B0-4058-4EDD-8413-1F8B90581A59}"/>
    <cellStyle name="Normal 9 3 3 2 4 2 3" xfId="13390" xr:uid="{273FC629-D5B8-437F-821E-CBF8413CB5D0}"/>
    <cellStyle name="Normal 9 3 3 2 4 3" xfId="6136" xr:uid="{00000000-0005-0000-0000-000007200000}"/>
    <cellStyle name="Normal 9 3 3 2 4 3 2" xfId="15462" xr:uid="{431FCB39-D1C4-448E-B9E5-55569657BB51}"/>
    <cellStyle name="Normal 9 3 3 2 4 4" xfId="11245" xr:uid="{11729B53-6AC1-48D9-8039-9D5606C99CB0}"/>
    <cellStyle name="Normal 9 3 3 2 5" xfId="2243" xr:uid="{00000000-0005-0000-0000-000008200000}"/>
    <cellStyle name="Normal 9 3 3 2 5 2" xfId="4472" xr:uid="{00000000-0005-0000-0000-000009200000}"/>
    <cellStyle name="Normal 9 3 3 2 5 2 2" xfId="8694" xr:uid="{00000000-0005-0000-0000-00000A200000}"/>
    <cellStyle name="Normal 9 3 3 2 5 2 2 2" xfId="18020" xr:uid="{A887B1C1-825C-4FFE-9E99-CCFA1DBE7BD7}"/>
    <cellStyle name="Normal 9 3 3 2 5 2 3" xfId="13803" xr:uid="{46FCED11-A17D-465B-8202-04D8E2639C9F}"/>
    <cellStyle name="Normal 9 3 3 2 5 3" xfId="6549" xr:uid="{00000000-0005-0000-0000-00000B200000}"/>
    <cellStyle name="Normal 9 3 3 2 5 3 2" xfId="15875" xr:uid="{D4E68EA3-6A5D-4E86-A27F-E2CA6567D8B3}"/>
    <cellStyle name="Normal 9 3 3 2 5 4" xfId="11658" xr:uid="{75221B1F-E867-45DA-B303-8EDDC4F16AA6}"/>
    <cellStyle name="Normal 9 3 3 2 6" xfId="2679" xr:uid="{00000000-0005-0000-0000-00000C200000}"/>
    <cellStyle name="Normal 9 3 3 2 6 2" xfId="6962" xr:uid="{00000000-0005-0000-0000-00000D200000}"/>
    <cellStyle name="Normal 9 3 3 2 6 2 2" xfId="16288" xr:uid="{536DB150-F96E-4E7D-9A9D-D14547B574E2}"/>
    <cellStyle name="Normal 9 3 3 2 6 3" xfId="12071" xr:uid="{73E833B8-3D95-4F7F-B741-A48C9AADF42C}"/>
    <cellStyle name="Normal 9 3 3 2 7" xfId="4897" xr:uid="{00000000-0005-0000-0000-00000E200000}"/>
    <cellStyle name="Normal 9 3 3 2 7 2" xfId="14223" xr:uid="{73F3A469-2F70-4BE2-92A7-758D4C9CE397}"/>
    <cellStyle name="Normal 9 3 3 2 8" xfId="9087" xr:uid="{B1C8DB1F-59B6-4D6A-B3E7-0CFC4D29D9A9}"/>
    <cellStyle name="Normal 9 3 3 2 8 2" xfId="18411" xr:uid="{26284BB3-2623-4291-A5EB-B75D59527D6E}"/>
    <cellStyle name="Normal 9 3 3 2 9" xfId="10006" xr:uid="{27331D95-FE58-46C1-B23D-FFFE9C1DA37E}"/>
    <cellStyle name="Normal 9 3 3 3" xfId="999" xr:uid="{00000000-0005-0000-0000-00000F200000}"/>
    <cellStyle name="Normal 9 3 3 3 2" xfId="3232" xr:uid="{00000000-0005-0000-0000-000010200000}"/>
    <cellStyle name="Normal 9 3 3 3 2 2" xfId="7454" xr:uid="{00000000-0005-0000-0000-000011200000}"/>
    <cellStyle name="Normal 9 3 3 3 2 2 2" xfId="16780" xr:uid="{544BF788-7E5D-479F-87E2-1DF1ADBD072A}"/>
    <cellStyle name="Normal 9 3 3 3 2 3" xfId="12563" xr:uid="{EC53A4F8-999C-428E-8649-5F62C3903992}"/>
    <cellStyle name="Normal 9 3 3 3 3" xfId="5309" xr:uid="{00000000-0005-0000-0000-000012200000}"/>
    <cellStyle name="Normal 9 3 3 3 3 2" xfId="14635" xr:uid="{1794EBE4-8E05-4326-88E8-721F153DC9B3}"/>
    <cellStyle name="Normal 9 3 3 3 4" xfId="9305" xr:uid="{F54F3A88-B268-4905-B4D1-34B996B920C6}"/>
    <cellStyle name="Normal 9 3 3 3 4 2" xfId="18620" xr:uid="{26C23A78-CA36-4273-A68E-2387682DCC82}"/>
    <cellStyle name="Normal 9 3 3 3 5" xfId="10418" xr:uid="{1E7A09E5-EEC5-4D96-8CA8-AC98C79E838F}"/>
    <cellStyle name="Normal 9 3 3 4" xfId="1415" xr:uid="{00000000-0005-0000-0000-000013200000}"/>
    <cellStyle name="Normal 9 3 3 4 2" xfId="3645" xr:uid="{00000000-0005-0000-0000-000014200000}"/>
    <cellStyle name="Normal 9 3 3 4 2 2" xfId="7867" xr:uid="{00000000-0005-0000-0000-000015200000}"/>
    <cellStyle name="Normal 9 3 3 4 2 2 2" xfId="17193" xr:uid="{50F3A786-13F6-4CEB-AE2F-5D04B09234B7}"/>
    <cellStyle name="Normal 9 3 3 4 2 3" xfId="12976" xr:uid="{542F4279-4B62-44A1-B567-5BD35D0E5360}"/>
    <cellStyle name="Normal 9 3 3 4 3" xfId="5722" xr:uid="{00000000-0005-0000-0000-000016200000}"/>
    <cellStyle name="Normal 9 3 3 4 3 2" xfId="15048" xr:uid="{DD724D23-DB6D-4D9E-8AE7-6EF18A733C98}"/>
    <cellStyle name="Normal 9 3 3 4 4" xfId="10831" xr:uid="{DA42A52C-DA5A-4DC4-A436-C3A6FBDE3D98}"/>
    <cellStyle name="Normal 9 3 3 5" xfId="1828" xr:uid="{00000000-0005-0000-0000-000017200000}"/>
    <cellStyle name="Normal 9 3 3 5 2" xfId="4058" xr:uid="{00000000-0005-0000-0000-000018200000}"/>
    <cellStyle name="Normal 9 3 3 5 2 2" xfId="8280" xr:uid="{00000000-0005-0000-0000-000019200000}"/>
    <cellStyle name="Normal 9 3 3 5 2 2 2" xfId="17606" xr:uid="{96A29EEF-4721-44C0-AE71-75D3EFDAB52A}"/>
    <cellStyle name="Normal 9 3 3 5 2 3" xfId="13389" xr:uid="{18987C69-1ACF-4025-944C-8B54739DAEBB}"/>
    <cellStyle name="Normal 9 3 3 5 3" xfId="6135" xr:uid="{00000000-0005-0000-0000-00001A200000}"/>
    <cellStyle name="Normal 9 3 3 5 3 2" xfId="15461" xr:uid="{180EE397-8DAD-483B-8E3C-831287296711}"/>
    <cellStyle name="Normal 9 3 3 5 4" xfId="11244" xr:uid="{446A8C0B-FC51-4924-BD4E-575F17A00FB1}"/>
    <cellStyle name="Normal 9 3 3 6" xfId="2242" xr:uid="{00000000-0005-0000-0000-00001B200000}"/>
    <cellStyle name="Normal 9 3 3 6 2" xfId="4471" xr:uid="{00000000-0005-0000-0000-00001C200000}"/>
    <cellStyle name="Normal 9 3 3 6 2 2" xfId="8693" xr:uid="{00000000-0005-0000-0000-00001D200000}"/>
    <cellStyle name="Normal 9 3 3 6 2 2 2" xfId="18019" xr:uid="{EA63F8A0-50A6-4D5C-B901-C8F2184F5476}"/>
    <cellStyle name="Normal 9 3 3 6 2 3" xfId="13802" xr:uid="{6B539512-6E90-494B-91C4-D649CDD8599C}"/>
    <cellStyle name="Normal 9 3 3 6 3" xfId="6548" xr:uid="{00000000-0005-0000-0000-00001E200000}"/>
    <cellStyle name="Normal 9 3 3 6 3 2" xfId="15874" xr:uid="{012F1A27-A163-4F7B-BEEB-3AB2C9D242A5}"/>
    <cellStyle name="Normal 9 3 3 6 4" xfId="11657" xr:uid="{360D7147-CC0D-40CB-B945-07B9C8439095}"/>
    <cellStyle name="Normal 9 3 3 7" xfId="2678" xr:uid="{00000000-0005-0000-0000-00001F200000}"/>
    <cellStyle name="Normal 9 3 3 7 2" xfId="6961" xr:uid="{00000000-0005-0000-0000-000020200000}"/>
    <cellStyle name="Normal 9 3 3 7 2 2" xfId="16287" xr:uid="{F0A52B4D-3D12-42A1-8066-432F620A84F2}"/>
    <cellStyle name="Normal 9 3 3 7 3" xfId="12070" xr:uid="{07ADA29A-6939-4F4A-95CD-539E73F72743}"/>
    <cellStyle name="Normal 9 3 3 8" xfId="4896" xr:uid="{00000000-0005-0000-0000-000021200000}"/>
    <cellStyle name="Normal 9 3 3 8 2" xfId="14222" xr:uid="{3C313A4E-EF4D-4CFC-BDA7-9F545F0D3345}"/>
    <cellStyle name="Normal 9 3 3 9" xfId="8880" xr:uid="{36521590-FD5B-45F7-80A9-41BA557EA820}"/>
    <cellStyle name="Normal 9 3 3 9 2" xfId="18204" xr:uid="{1370B19B-260C-473B-B251-88F26F205329}"/>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2 2 2" xfId="16782" xr:uid="{F1F50FC7-2E86-4BA1-A68F-DE6224317B0D}"/>
    <cellStyle name="Normal 9 3 4 2 2 3" xfId="12565" xr:uid="{3811BEDD-ED62-4FD6-B323-642D28637527}"/>
    <cellStyle name="Normal 9 3 4 2 3" xfId="5311" xr:uid="{00000000-0005-0000-0000-000026200000}"/>
    <cellStyle name="Normal 9 3 4 2 3 2" xfId="14637" xr:uid="{45103DD9-4C9F-412B-A86F-AAB14C8DF711}"/>
    <cellStyle name="Normal 9 3 4 2 4" xfId="9409" xr:uid="{F8EFC02C-357C-44AD-9BF7-6459F3C595DA}"/>
    <cellStyle name="Normal 9 3 4 2 4 2" xfId="18724" xr:uid="{089F1B2A-0BC9-4F0A-827C-4B417EB89B4A}"/>
    <cellStyle name="Normal 9 3 4 2 5" xfId="10420" xr:uid="{9EF87147-7D42-47EA-A2F2-2A80744FF891}"/>
    <cellStyle name="Normal 9 3 4 3" xfId="1417" xr:uid="{00000000-0005-0000-0000-000027200000}"/>
    <cellStyle name="Normal 9 3 4 3 2" xfId="3647" xr:uid="{00000000-0005-0000-0000-000028200000}"/>
    <cellStyle name="Normal 9 3 4 3 2 2" xfId="7869" xr:uid="{00000000-0005-0000-0000-000029200000}"/>
    <cellStyle name="Normal 9 3 4 3 2 2 2" xfId="17195" xr:uid="{13A99FF9-1376-4857-99D0-1DAC8C83DB0A}"/>
    <cellStyle name="Normal 9 3 4 3 2 3" xfId="12978" xr:uid="{740CC267-5209-4983-BB8E-C041B0FDC03A}"/>
    <cellStyle name="Normal 9 3 4 3 3" xfId="5724" xr:uid="{00000000-0005-0000-0000-00002A200000}"/>
    <cellStyle name="Normal 9 3 4 3 3 2" xfId="15050" xr:uid="{C074FC0C-7487-4FB3-82B4-026446B503AF}"/>
    <cellStyle name="Normal 9 3 4 3 4" xfId="10833" xr:uid="{45D92452-B9D0-44C1-A36C-652495F69F8F}"/>
    <cellStyle name="Normal 9 3 4 4" xfId="1830" xr:uid="{00000000-0005-0000-0000-00002B200000}"/>
    <cellStyle name="Normal 9 3 4 4 2" xfId="4060" xr:uid="{00000000-0005-0000-0000-00002C200000}"/>
    <cellStyle name="Normal 9 3 4 4 2 2" xfId="8282" xr:uid="{00000000-0005-0000-0000-00002D200000}"/>
    <cellStyle name="Normal 9 3 4 4 2 2 2" xfId="17608" xr:uid="{3EF43370-06FC-40DB-843A-68345A73B844}"/>
    <cellStyle name="Normal 9 3 4 4 2 3" xfId="13391" xr:uid="{EAD37FF3-0392-4FC7-8AEA-6DBC6160A586}"/>
    <cellStyle name="Normal 9 3 4 4 3" xfId="6137" xr:uid="{00000000-0005-0000-0000-00002E200000}"/>
    <cellStyle name="Normal 9 3 4 4 3 2" xfId="15463" xr:uid="{AC3C1B32-A128-4FEC-A3F0-48116FAA2D95}"/>
    <cellStyle name="Normal 9 3 4 4 4" xfId="11246" xr:uid="{4D505593-CEEF-497F-97C1-B9658F82CC49}"/>
    <cellStyle name="Normal 9 3 4 5" xfId="2244" xr:uid="{00000000-0005-0000-0000-00002F200000}"/>
    <cellStyle name="Normal 9 3 4 5 2" xfId="4473" xr:uid="{00000000-0005-0000-0000-000030200000}"/>
    <cellStyle name="Normal 9 3 4 5 2 2" xfId="8695" xr:uid="{00000000-0005-0000-0000-000031200000}"/>
    <cellStyle name="Normal 9 3 4 5 2 2 2" xfId="18021" xr:uid="{DCF01699-AB0E-4D6F-9E23-FF54F8FEC077}"/>
    <cellStyle name="Normal 9 3 4 5 2 3" xfId="13804" xr:uid="{D76B3CF1-D892-49DA-9E28-9797F8C49036}"/>
    <cellStyle name="Normal 9 3 4 5 3" xfId="6550" xr:uid="{00000000-0005-0000-0000-000032200000}"/>
    <cellStyle name="Normal 9 3 4 5 3 2" xfId="15876" xr:uid="{418695FF-C67F-4082-BB1E-00D3564FE312}"/>
    <cellStyle name="Normal 9 3 4 5 4" xfId="11659" xr:uid="{E087D42D-FEB7-444B-AC46-43F4F4333E71}"/>
    <cellStyle name="Normal 9 3 4 6" xfId="2680" xr:uid="{00000000-0005-0000-0000-000033200000}"/>
    <cellStyle name="Normal 9 3 4 6 2" xfId="6963" xr:uid="{00000000-0005-0000-0000-000034200000}"/>
    <cellStyle name="Normal 9 3 4 6 2 2" xfId="16289" xr:uid="{51F24F6F-AB3A-49E9-8586-17FF7B67A097}"/>
    <cellStyle name="Normal 9 3 4 6 3" xfId="12072" xr:uid="{BD237CA8-D505-4FB1-970F-1B899CF508A7}"/>
    <cellStyle name="Normal 9 3 4 7" xfId="4898" xr:uid="{00000000-0005-0000-0000-000035200000}"/>
    <cellStyle name="Normal 9 3 4 7 2" xfId="14224" xr:uid="{5F3BC4E9-F408-4AFD-86FC-90E622B65449}"/>
    <cellStyle name="Normal 9 3 4 8" xfId="8984" xr:uid="{A39B104A-EAEF-4D5B-B504-6104111E924B}"/>
    <cellStyle name="Normal 9 3 4 8 2" xfId="18308" xr:uid="{85682C6F-0FA4-45CC-BFA0-205BC1DE4F00}"/>
    <cellStyle name="Normal 9 3 4 9" xfId="10007" xr:uid="{D591E9AB-CA3B-452A-A806-B66AA5C461FF}"/>
    <cellStyle name="Normal 9 3 5" xfId="994" xr:uid="{00000000-0005-0000-0000-000036200000}"/>
    <cellStyle name="Normal 9 3 5 2" xfId="3227" xr:uid="{00000000-0005-0000-0000-000037200000}"/>
    <cellStyle name="Normal 9 3 5 2 2" xfId="7449" xr:uid="{00000000-0005-0000-0000-000038200000}"/>
    <cellStyle name="Normal 9 3 5 2 2 2" xfId="16775" xr:uid="{03563E61-1565-4CC5-9BE5-451FA6391E71}"/>
    <cellStyle name="Normal 9 3 5 2 3" xfId="12558" xr:uid="{C8822CB1-C0DA-4B7D-925F-E645037A6D1E}"/>
    <cellStyle name="Normal 9 3 5 3" xfId="5304" xr:uid="{00000000-0005-0000-0000-000039200000}"/>
    <cellStyle name="Normal 9 3 5 3 2" xfId="14630" xr:uid="{0B321D16-8CF3-4460-A1BF-B2F60E52311D}"/>
    <cellStyle name="Normal 9 3 5 4" xfId="9201" xr:uid="{46D523D7-8DEB-46FB-8F1C-8CE8C2FC3AD3}"/>
    <cellStyle name="Normal 9 3 5 4 2" xfId="18517" xr:uid="{DC5B4542-3EE6-4F53-AD70-AB6FA13BA96C}"/>
    <cellStyle name="Normal 9 3 5 5" xfId="10413" xr:uid="{B6C97924-B758-4F57-A7C5-14B5294F47F3}"/>
    <cellStyle name="Normal 9 3 6" xfId="1410" xr:uid="{00000000-0005-0000-0000-00003A200000}"/>
    <cellStyle name="Normal 9 3 6 2" xfId="3640" xr:uid="{00000000-0005-0000-0000-00003B200000}"/>
    <cellStyle name="Normal 9 3 6 2 2" xfId="7862" xr:uid="{00000000-0005-0000-0000-00003C200000}"/>
    <cellStyle name="Normal 9 3 6 2 2 2" xfId="17188" xr:uid="{D79F2ACE-923D-4EB6-B31C-263D3D388FF7}"/>
    <cellStyle name="Normal 9 3 6 2 3" xfId="12971" xr:uid="{5089B90D-B47A-458E-8C72-7894398EFBF9}"/>
    <cellStyle name="Normal 9 3 6 3" xfId="5717" xr:uid="{00000000-0005-0000-0000-00003D200000}"/>
    <cellStyle name="Normal 9 3 6 3 2" xfId="15043" xr:uid="{0057D840-B33D-42DA-A6E5-E8B1714BDD45}"/>
    <cellStyle name="Normal 9 3 6 4" xfId="10826" xr:uid="{28543C53-B7BE-4D48-8E2F-046AAEEF987E}"/>
    <cellStyle name="Normal 9 3 7" xfId="1823" xr:uid="{00000000-0005-0000-0000-00003E200000}"/>
    <cellStyle name="Normal 9 3 7 2" xfId="4053" xr:uid="{00000000-0005-0000-0000-00003F200000}"/>
    <cellStyle name="Normal 9 3 7 2 2" xfId="8275" xr:uid="{00000000-0005-0000-0000-000040200000}"/>
    <cellStyle name="Normal 9 3 7 2 2 2" xfId="17601" xr:uid="{44AA55C2-BB57-40E4-86CE-7B3193C1BEAC}"/>
    <cellStyle name="Normal 9 3 7 2 3" xfId="13384" xr:uid="{5873A9D6-2A57-4115-8086-2706D792706B}"/>
    <cellStyle name="Normal 9 3 7 3" xfId="6130" xr:uid="{00000000-0005-0000-0000-000041200000}"/>
    <cellStyle name="Normal 9 3 7 3 2" xfId="15456" xr:uid="{EAE3AC8F-259D-4246-A52D-1D34198ED6C9}"/>
    <cellStyle name="Normal 9 3 7 4" xfId="11239" xr:uid="{F37A722B-72B4-4E15-84DB-6BFA4FAD8CD8}"/>
    <cellStyle name="Normal 9 3 8" xfId="2237" xr:uid="{00000000-0005-0000-0000-000042200000}"/>
    <cellStyle name="Normal 9 3 8 2" xfId="4466" xr:uid="{00000000-0005-0000-0000-000043200000}"/>
    <cellStyle name="Normal 9 3 8 2 2" xfId="8688" xr:uid="{00000000-0005-0000-0000-000044200000}"/>
    <cellStyle name="Normal 9 3 8 2 2 2" xfId="18014" xr:uid="{B3398F34-A849-4311-B6DD-786537093AA5}"/>
    <cellStyle name="Normal 9 3 8 2 3" xfId="13797" xr:uid="{792CC2ED-8C9D-4B75-8044-33EE44939C3D}"/>
    <cellStyle name="Normal 9 3 8 3" xfId="6543" xr:uid="{00000000-0005-0000-0000-000045200000}"/>
    <cellStyle name="Normal 9 3 8 3 2" xfId="15869" xr:uid="{56C2224A-3C14-437B-A2D9-F95012AAC4DF}"/>
    <cellStyle name="Normal 9 3 8 4" xfId="11652" xr:uid="{E57E219A-62A1-4E66-BF97-DC77118493F5}"/>
    <cellStyle name="Normal 9 3 9" xfId="2673" xr:uid="{00000000-0005-0000-0000-000046200000}"/>
    <cellStyle name="Normal 9 3 9 2" xfId="6956" xr:uid="{00000000-0005-0000-0000-000047200000}"/>
    <cellStyle name="Normal 9 3 9 2 2" xfId="16282" xr:uid="{48440DD4-C63D-43EE-B8E6-88C118B26197}"/>
    <cellStyle name="Normal 9 3 9 3" xfId="12065" xr:uid="{D8A77DF1-BCC5-4D1E-9399-EAF29656176F}"/>
    <cellStyle name="Normal 9 4" xfId="535" xr:uid="{00000000-0005-0000-0000-000048200000}"/>
    <cellStyle name="Normal 9 4 2" xfId="1002" xr:uid="{00000000-0005-0000-0000-000049200000}"/>
    <cellStyle name="Normal 9 5" xfId="536" xr:uid="{00000000-0005-0000-0000-00004A200000}"/>
    <cellStyle name="Normal 9 5 10" xfId="10008" xr:uid="{54435CAC-7C06-456B-981F-810044964A0A}"/>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2 2 2" xfId="16784" xr:uid="{5EC06A6D-8140-4058-A151-E0B3EFD8A51C}"/>
    <cellStyle name="Normal 9 5 2 2 2 3" xfId="12567" xr:uid="{BA727828-7549-490B-A0E2-8C54BE0D72E2}"/>
    <cellStyle name="Normal 9 5 2 2 3" xfId="5313" xr:uid="{00000000-0005-0000-0000-00004F200000}"/>
    <cellStyle name="Normal 9 5 2 2 3 2" xfId="14639" xr:uid="{EDBC20CD-B453-4810-9B0D-45FE05E68632}"/>
    <cellStyle name="Normal 9 5 2 2 4" xfId="9480" xr:uid="{BC9702BE-C2B3-450A-99DF-6FFE7C7A82FD}"/>
    <cellStyle name="Normal 9 5 2 2 4 2" xfId="18795" xr:uid="{35E5B292-3C58-4AB9-B3DD-5292E92F999A}"/>
    <cellStyle name="Normal 9 5 2 2 5" xfId="10422" xr:uid="{C6C43B6B-199E-4FC3-96FA-BEB10D55036F}"/>
    <cellStyle name="Normal 9 5 2 3" xfId="1419" xr:uid="{00000000-0005-0000-0000-000050200000}"/>
    <cellStyle name="Normal 9 5 2 3 2" xfId="3649" xr:uid="{00000000-0005-0000-0000-000051200000}"/>
    <cellStyle name="Normal 9 5 2 3 2 2" xfId="7871" xr:uid="{00000000-0005-0000-0000-000052200000}"/>
    <cellStyle name="Normal 9 5 2 3 2 2 2" xfId="17197" xr:uid="{AB622BD8-C569-47D9-8DDB-2D1DF05472A0}"/>
    <cellStyle name="Normal 9 5 2 3 2 3" xfId="12980" xr:uid="{04D9BBF0-0727-42E4-AA61-97B0AE445B59}"/>
    <cellStyle name="Normal 9 5 2 3 3" xfId="5726" xr:uid="{00000000-0005-0000-0000-000053200000}"/>
    <cellStyle name="Normal 9 5 2 3 3 2" xfId="15052" xr:uid="{CA23D17B-F49A-4E20-B62B-4A1B85437F27}"/>
    <cellStyle name="Normal 9 5 2 3 4" xfId="10835" xr:uid="{27928C8C-7117-4544-8411-43EEE06000F9}"/>
    <cellStyle name="Normal 9 5 2 4" xfId="1832" xr:uid="{00000000-0005-0000-0000-000054200000}"/>
    <cellStyle name="Normal 9 5 2 4 2" xfId="4062" xr:uid="{00000000-0005-0000-0000-000055200000}"/>
    <cellStyle name="Normal 9 5 2 4 2 2" xfId="8284" xr:uid="{00000000-0005-0000-0000-000056200000}"/>
    <cellStyle name="Normal 9 5 2 4 2 2 2" xfId="17610" xr:uid="{F691CD97-130B-4347-BD41-BDD9AD977158}"/>
    <cellStyle name="Normal 9 5 2 4 2 3" xfId="13393" xr:uid="{23C21BDA-64CD-496B-9340-90F524500055}"/>
    <cellStyle name="Normal 9 5 2 4 3" xfId="6139" xr:uid="{00000000-0005-0000-0000-000057200000}"/>
    <cellStyle name="Normal 9 5 2 4 3 2" xfId="15465" xr:uid="{E471428F-652C-49F8-82E2-21ECDDBAA6B0}"/>
    <cellStyle name="Normal 9 5 2 4 4" xfId="11248" xr:uid="{A71CA48E-FD3E-4165-BC8D-47DFF10153D8}"/>
    <cellStyle name="Normal 9 5 2 5" xfId="2246" xr:uid="{00000000-0005-0000-0000-000058200000}"/>
    <cellStyle name="Normal 9 5 2 5 2" xfId="4475" xr:uid="{00000000-0005-0000-0000-000059200000}"/>
    <cellStyle name="Normal 9 5 2 5 2 2" xfId="8697" xr:uid="{00000000-0005-0000-0000-00005A200000}"/>
    <cellStyle name="Normal 9 5 2 5 2 2 2" xfId="18023" xr:uid="{DEABA1DC-C93C-47DA-9BAD-79400C7C7666}"/>
    <cellStyle name="Normal 9 5 2 5 2 3" xfId="13806" xr:uid="{8010D078-26FC-4C74-8345-745114A89D1C}"/>
    <cellStyle name="Normal 9 5 2 5 3" xfId="6552" xr:uid="{00000000-0005-0000-0000-00005B200000}"/>
    <cellStyle name="Normal 9 5 2 5 3 2" xfId="15878" xr:uid="{2876B215-FA0A-4D34-86F8-AD31155509A8}"/>
    <cellStyle name="Normal 9 5 2 5 4" xfId="11661" xr:uid="{C5B08683-86AE-4189-BDB8-5668829AED23}"/>
    <cellStyle name="Normal 9 5 2 6" xfId="2682" xr:uid="{00000000-0005-0000-0000-00005C200000}"/>
    <cellStyle name="Normal 9 5 2 6 2" xfId="6965" xr:uid="{00000000-0005-0000-0000-00005D200000}"/>
    <cellStyle name="Normal 9 5 2 6 2 2" xfId="16291" xr:uid="{25E62B7F-1C63-4FFE-8DC1-9A31092FF66B}"/>
    <cellStyle name="Normal 9 5 2 6 3" xfId="12074" xr:uid="{B69ADD26-6055-441A-967E-D89407BAE178}"/>
    <cellStyle name="Normal 9 5 2 7" xfId="4900" xr:uid="{00000000-0005-0000-0000-00005E200000}"/>
    <cellStyle name="Normal 9 5 2 7 2" xfId="14226" xr:uid="{1897DF1A-74BE-427B-9CBF-B3EC06E73873}"/>
    <cellStyle name="Normal 9 5 2 8" xfId="9055" xr:uid="{3DD071E2-A4B3-45E3-9F20-3C2D5AEE5CB2}"/>
    <cellStyle name="Normal 9 5 2 8 2" xfId="18379" xr:uid="{7349B553-A02B-48D0-88B6-489A3078F575}"/>
    <cellStyle name="Normal 9 5 2 9" xfId="10009" xr:uid="{68BDE9D3-6EA7-4821-B58D-F2EEFD81B4DE}"/>
    <cellStyle name="Normal 9 5 3" xfId="1003" xr:uid="{00000000-0005-0000-0000-00005F200000}"/>
    <cellStyle name="Normal 9 5 3 2" xfId="3235" xr:uid="{00000000-0005-0000-0000-000060200000}"/>
    <cellStyle name="Normal 9 5 3 2 2" xfId="7457" xr:uid="{00000000-0005-0000-0000-000061200000}"/>
    <cellStyle name="Normal 9 5 3 2 2 2" xfId="16783" xr:uid="{F055B5CD-FFD1-4169-8A87-A8ACDC9E0BC4}"/>
    <cellStyle name="Normal 9 5 3 2 3" xfId="12566" xr:uid="{8C389EB5-3C21-48F3-9C7E-C10BC89E219F}"/>
    <cellStyle name="Normal 9 5 3 3" xfId="5312" xr:uid="{00000000-0005-0000-0000-000062200000}"/>
    <cellStyle name="Normal 9 5 3 3 2" xfId="14638" xr:uid="{B2827840-A7C4-4223-BD99-8DDDDB186E29}"/>
    <cellStyle name="Normal 9 5 3 4" xfId="9273" xr:uid="{AE6CB61B-02C5-436E-A328-3B2AC8AC9E53}"/>
    <cellStyle name="Normal 9 5 3 4 2" xfId="18588" xr:uid="{BE858393-32AC-4385-8B38-21AC75F9720A}"/>
    <cellStyle name="Normal 9 5 3 5" xfId="10421" xr:uid="{A342A2B2-FB7B-49F3-9A05-6ED822DB863B}"/>
    <cellStyle name="Normal 9 5 4" xfId="1418" xr:uid="{00000000-0005-0000-0000-000063200000}"/>
    <cellStyle name="Normal 9 5 4 2" xfId="3648" xr:uid="{00000000-0005-0000-0000-000064200000}"/>
    <cellStyle name="Normal 9 5 4 2 2" xfId="7870" xr:uid="{00000000-0005-0000-0000-000065200000}"/>
    <cellStyle name="Normal 9 5 4 2 2 2" xfId="17196" xr:uid="{9318A411-3968-4EFD-BB29-ADF8155E2CE0}"/>
    <cellStyle name="Normal 9 5 4 2 3" xfId="12979" xr:uid="{0EBD3DAA-0034-48C8-919C-26C1165D93A3}"/>
    <cellStyle name="Normal 9 5 4 3" xfId="5725" xr:uid="{00000000-0005-0000-0000-000066200000}"/>
    <cellStyle name="Normal 9 5 4 3 2" xfId="15051" xr:uid="{8B17A498-5977-4054-8A6C-0C4044778BBA}"/>
    <cellStyle name="Normal 9 5 4 4" xfId="10834" xr:uid="{7314824A-7B11-4D87-AA4A-B5ADFACC079E}"/>
    <cellStyle name="Normal 9 5 5" xfId="1831" xr:uid="{00000000-0005-0000-0000-000067200000}"/>
    <cellStyle name="Normal 9 5 5 2" xfId="4061" xr:uid="{00000000-0005-0000-0000-000068200000}"/>
    <cellStyle name="Normal 9 5 5 2 2" xfId="8283" xr:uid="{00000000-0005-0000-0000-000069200000}"/>
    <cellStyle name="Normal 9 5 5 2 2 2" xfId="17609" xr:uid="{2F5AE870-309C-437D-A38B-BE22597A500B}"/>
    <cellStyle name="Normal 9 5 5 2 3" xfId="13392" xr:uid="{26702924-A734-43E7-9BD8-0A84AF1A0730}"/>
    <cellStyle name="Normal 9 5 5 3" xfId="6138" xr:uid="{00000000-0005-0000-0000-00006A200000}"/>
    <cellStyle name="Normal 9 5 5 3 2" xfId="15464" xr:uid="{6F26D3F7-144D-4C52-8202-74B03D9FACDB}"/>
    <cellStyle name="Normal 9 5 5 4" xfId="11247" xr:uid="{C6AD884B-EC8E-48D0-86F9-3FF9AB9BC956}"/>
    <cellStyle name="Normal 9 5 6" xfId="2245" xr:uid="{00000000-0005-0000-0000-00006B200000}"/>
    <cellStyle name="Normal 9 5 6 2" xfId="4474" xr:uid="{00000000-0005-0000-0000-00006C200000}"/>
    <cellStyle name="Normal 9 5 6 2 2" xfId="8696" xr:uid="{00000000-0005-0000-0000-00006D200000}"/>
    <cellStyle name="Normal 9 5 6 2 2 2" xfId="18022" xr:uid="{00789AC0-F8BE-4C8F-A8BA-CDD59BAEBEA2}"/>
    <cellStyle name="Normal 9 5 6 2 3" xfId="13805" xr:uid="{472D1595-6646-4FF1-8FF6-41DA4890D62A}"/>
    <cellStyle name="Normal 9 5 6 3" xfId="6551" xr:uid="{00000000-0005-0000-0000-00006E200000}"/>
    <cellStyle name="Normal 9 5 6 3 2" xfId="15877" xr:uid="{8B3A0EA2-1AD9-4888-84EB-0898AFFFFCEB}"/>
    <cellStyle name="Normal 9 5 6 4" xfId="11660" xr:uid="{354B58FA-636C-4836-A090-FCA91D2E319C}"/>
    <cellStyle name="Normal 9 5 7" xfId="2681" xr:uid="{00000000-0005-0000-0000-00006F200000}"/>
    <cellStyle name="Normal 9 5 7 2" xfId="6964" xr:uid="{00000000-0005-0000-0000-000070200000}"/>
    <cellStyle name="Normal 9 5 7 2 2" xfId="16290" xr:uid="{B95A74B9-5C1D-4148-8625-F1235ECC8681}"/>
    <cellStyle name="Normal 9 5 7 3" xfId="12073" xr:uid="{F962C2FB-1340-4AD4-92F4-08CD53D70CCF}"/>
    <cellStyle name="Normal 9 5 8" xfId="4899" xr:uid="{00000000-0005-0000-0000-000071200000}"/>
    <cellStyle name="Normal 9 5 8 2" xfId="14225" xr:uid="{F455EACD-D4C6-41C4-902B-AA7ADA82B406}"/>
    <cellStyle name="Normal 9 5 9" xfId="8848" xr:uid="{B1BE5F70-14E5-42B6-9EBA-D267F3B60A08}"/>
    <cellStyle name="Normal 9 5 9 2" xfId="18172" xr:uid="{D0E6640C-F9E4-4686-B80D-40E4CC328AF0}"/>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2 2 2" xfId="16785" xr:uid="{D7506EC3-9CF8-4EEF-88FB-E8D1035DA479}"/>
    <cellStyle name="Normal 9 6 2 2 3" xfId="12568" xr:uid="{6DF8D899-F753-42B9-83FA-84FCA15C2718}"/>
    <cellStyle name="Normal 9 6 2 3" xfId="5314" xr:uid="{00000000-0005-0000-0000-000076200000}"/>
    <cellStyle name="Normal 9 6 2 3 2" xfId="14640" xr:uid="{6F2B2299-EC05-4D64-A54D-EA588613DF59}"/>
    <cellStyle name="Normal 9 6 2 4" xfId="9389" xr:uid="{2A0458F6-466A-4C3B-BA39-FF09FD770FDD}"/>
    <cellStyle name="Normal 9 6 2 4 2" xfId="18704" xr:uid="{799B1A7E-7345-4AB8-A5AC-202C549B688A}"/>
    <cellStyle name="Normal 9 6 2 5" xfId="10423" xr:uid="{78ED75D6-A65D-482F-8200-DEAC99924AD5}"/>
    <cellStyle name="Normal 9 6 3" xfId="1420" xr:uid="{00000000-0005-0000-0000-000077200000}"/>
    <cellStyle name="Normal 9 6 3 2" xfId="3650" xr:uid="{00000000-0005-0000-0000-000078200000}"/>
    <cellStyle name="Normal 9 6 3 2 2" xfId="7872" xr:uid="{00000000-0005-0000-0000-000079200000}"/>
    <cellStyle name="Normal 9 6 3 2 2 2" xfId="17198" xr:uid="{B12C81CA-56F9-49AE-9AAA-FCD761B8C82E}"/>
    <cellStyle name="Normal 9 6 3 2 3" xfId="12981" xr:uid="{5AAF8FB4-3765-4221-8DEE-A2FABDF4D405}"/>
    <cellStyle name="Normal 9 6 3 3" xfId="5727" xr:uid="{00000000-0005-0000-0000-00007A200000}"/>
    <cellStyle name="Normal 9 6 3 3 2" xfId="15053" xr:uid="{70800567-071E-44CA-A6B0-ED662709E78D}"/>
    <cellStyle name="Normal 9 6 3 4" xfId="10836" xr:uid="{E6649EF1-A874-44EA-BCCD-83654E85882F}"/>
    <cellStyle name="Normal 9 6 4" xfId="1833" xr:uid="{00000000-0005-0000-0000-00007B200000}"/>
    <cellStyle name="Normal 9 6 4 2" xfId="4063" xr:uid="{00000000-0005-0000-0000-00007C200000}"/>
    <cellStyle name="Normal 9 6 4 2 2" xfId="8285" xr:uid="{00000000-0005-0000-0000-00007D200000}"/>
    <cellStyle name="Normal 9 6 4 2 2 2" xfId="17611" xr:uid="{4ACBF29B-C9F3-46CC-B6E3-43DDC51E540E}"/>
    <cellStyle name="Normal 9 6 4 2 3" xfId="13394" xr:uid="{27A70C0D-0DC7-4C31-877D-9F8BE5F12461}"/>
    <cellStyle name="Normal 9 6 4 3" xfId="6140" xr:uid="{00000000-0005-0000-0000-00007E200000}"/>
    <cellStyle name="Normal 9 6 4 3 2" xfId="15466" xr:uid="{99233C09-FE3A-4C4D-A077-5F86EFF8AAC3}"/>
    <cellStyle name="Normal 9 6 4 4" xfId="11249" xr:uid="{F21AD585-9451-48CA-91BE-470F7D2E89EA}"/>
    <cellStyle name="Normal 9 6 5" xfId="2247" xr:uid="{00000000-0005-0000-0000-00007F200000}"/>
    <cellStyle name="Normal 9 6 5 2" xfId="4476" xr:uid="{00000000-0005-0000-0000-000080200000}"/>
    <cellStyle name="Normal 9 6 5 2 2" xfId="8698" xr:uid="{00000000-0005-0000-0000-000081200000}"/>
    <cellStyle name="Normal 9 6 5 2 2 2" xfId="18024" xr:uid="{5A45D164-3275-47CE-81E0-3702CFC029C9}"/>
    <cellStyle name="Normal 9 6 5 2 3" xfId="13807" xr:uid="{54D91BDE-18B2-4D74-9EE6-B958169852B0}"/>
    <cellStyle name="Normal 9 6 5 3" xfId="6553" xr:uid="{00000000-0005-0000-0000-000082200000}"/>
    <cellStyle name="Normal 9 6 5 3 2" xfId="15879" xr:uid="{7CDBC96C-1DA8-4156-899A-1FD0D3DBB30F}"/>
    <cellStyle name="Normal 9 6 5 4" xfId="11662" xr:uid="{CE27F53C-8A86-42BC-BC6E-F48AC2F40C0C}"/>
    <cellStyle name="Normal 9 6 6" xfId="2683" xr:uid="{00000000-0005-0000-0000-000083200000}"/>
    <cellStyle name="Normal 9 6 6 2" xfId="6966" xr:uid="{00000000-0005-0000-0000-000084200000}"/>
    <cellStyle name="Normal 9 6 6 2 2" xfId="16292" xr:uid="{6527239E-FC76-4DBD-A352-38283B1F9CC3}"/>
    <cellStyle name="Normal 9 6 6 3" xfId="12075" xr:uid="{59DFC472-2540-4F33-85F0-E8E430BAD141}"/>
    <cellStyle name="Normal 9 6 7" xfId="4901" xr:uid="{00000000-0005-0000-0000-000085200000}"/>
    <cellStyle name="Normal 9 6 7 2" xfId="14227" xr:uid="{8DF50A3D-8188-4A93-AA44-A7663415BEFE}"/>
    <cellStyle name="Normal 9 6 8" xfId="8964" xr:uid="{9BBC9C46-7A3A-4BC9-9542-DC33DFA165C2}"/>
    <cellStyle name="Normal 9 6 8 2" xfId="18288" xr:uid="{7153598A-874C-407E-BED9-731962137DFB}"/>
    <cellStyle name="Normal 9 6 9" xfId="10010" xr:uid="{17CD0BEE-775B-4C23-9C1F-46B4F89B3AE4}"/>
    <cellStyle name="Normal 9 7" xfId="977" xr:uid="{00000000-0005-0000-0000-000086200000}"/>
    <cellStyle name="Normal 9 7 2" xfId="9609" xr:uid="{1246D22D-2382-4FAF-A8D6-CB26E2B9F9CE}"/>
    <cellStyle name="Normal 9 7 3" xfId="9167" xr:uid="{F9EED645-1D44-43CF-99A5-77176BA4CE36}"/>
    <cellStyle name="Normal 9 7 3 2" xfId="18485" xr:uid="{650F1D19-3B14-4618-8B0D-F8077212674D}"/>
    <cellStyle name="Normal 9 8" xfId="8745" xr:uid="{C1852A12-4F74-491B-976C-56AD8D4478B4}"/>
    <cellStyle name="Normal 9 8 2" xfId="18069" xr:uid="{929C2F4E-7032-4756-9C7C-24244152D788}"/>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0 2 2" xfId="16373" xr:uid="{08A94DE7-ED7E-46F0-9F0F-785ACD67C5CA}"/>
    <cellStyle name="Note 2 2 10 3" xfId="12156" xr:uid="{1B7E867B-222B-4AAF-B7A8-DC611BEB7763}"/>
    <cellStyle name="Note 2 2 11" xfId="4902" xr:uid="{00000000-0005-0000-0000-000094200000}"/>
    <cellStyle name="Note 2 2 11 2" xfId="14228" xr:uid="{246B0CF6-B785-46EA-9792-DF0FB57676F3}"/>
    <cellStyle name="Note 2 2 12" xfId="8841" xr:uid="{E94E1FD8-31C4-4718-9658-C7A587CBF323}"/>
    <cellStyle name="Note 2 2 12 2" xfId="18165" xr:uid="{0D76624E-25F5-4D1B-98F1-072F2C1B7D77}"/>
    <cellStyle name="Note 2 2 13" xfId="10011" xr:uid="{39A9E7D5-B5BD-4723-89B9-04FA7A79825F}"/>
    <cellStyle name="Note 2 2 2" xfId="546" xr:uid="{00000000-0005-0000-0000-000095200000}"/>
    <cellStyle name="Note 2 2 2 10" xfId="4903" xr:uid="{00000000-0005-0000-0000-000096200000}"/>
    <cellStyle name="Note 2 2 2 10 2" xfId="14229" xr:uid="{B826A880-EA72-4DD4-8CCE-ECFFF9B8D1AD}"/>
    <cellStyle name="Note 2 2 2 11" xfId="8944" xr:uid="{B75A3404-A4A3-41D6-B6C3-54560C6DD592}"/>
    <cellStyle name="Note 2 2 2 11 2" xfId="18268" xr:uid="{9886642E-9978-4120-BBA6-88C63254B837}"/>
    <cellStyle name="Note 2 2 2 12" xfId="10012" xr:uid="{1CBD1184-D5DE-41E1-9712-8431EEE69777}"/>
    <cellStyle name="Note 2 2 2 2" xfId="547" xr:uid="{00000000-0005-0000-0000-000097200000}"/>
    <cellStyle name="Note 2 2 2 2 10" xfId="9151" xr:uid="{DE810DD8-00EC-4339-9CFC-C84D5E182971}"/>
    <cellStyle name="Note 2 2 2 2 10 2" xfId="18475" xr:uid="{EF9E0BAB-651B-41FF-BDDD-699C7AA0EBA5}"/>
    <cellStyle name="Note 2 2 2 2 11" xfId="10013" xr:uid="{12FDB52F-0800-4800-AC43-D7C218E85555}"/>
    <cellStyle name="Note 2 2 2 2 2" xfId="1008" xr:uid="{00000000-0005-0000-0000-000098200000}"/>
    <cellStyle name="Note 2 2 2 2 2 2" xfId="3240" xr:uid="{00000000-0005-0000-0000-000099200000}"/>
    <cellStyle name="Note 2 2 2 2 2 2 2" xfId="7462" xr:uid="{00000000-0005-0000-0000-00009A200000}"/>
    <cellStyle name="Note 2 2 2 2 2 2 2 2" xfId="16788" xr:uid="{796017CA-EF53-4D68-8164-6CF1DE338B04}"/>
    <cellStyle name="Note 2 2 2 2 2 2 3" xfId="12571" xr:uid="{591F2A20-EEF9-4B21-AD9D-175213A75E04}"/>
    <cellStyle name="Note 2 2 2 2 2 3" xfId="5317" xr:uid="{00000000-0005-0000-0000-00009B200000}"/>
    <cellStyle name="Note 2 2 2 2 2 3 2" xfId="14643" xr:uid="{C3BB7A67-2A26-4CA5-AEF1-D2B96F6F42DD}"/>
    <cellStyle name="Note 2 2 2 2 2 4" xfId="9576" xr:uid="{375E296C-598F-454E-B7C4-9E851CE02ED2}"/>
    <cellStyle name="Note 2 2 2 2 2 4 2" xfId="18891" xr:uid="{7D6749F5-A5F1-4B84-9E38-78A32D036D2D}"/>
    <cellStyle name="Note 2 2 2 2 2 5" xfId="10426" xr:uid="{3B3F53DE-B3FF-46AF-AB4F-310E7AFBB9E1}"/>
    <cellStyle name="Note 2 2 2 2 3" xfId="1423" xr:uid="{00000000-0005-0000-0000-00009C200000}"/>
    <cellStyle name="Note 2 2 2 2 3 2" xfId="3653" xr:uid="{00000000-0005-0000-0000-00009D200000}"/>
    <cellStyle name="Note 2 2 2 2 3 2 2" xfId="7875" xr:uid="{00000000-0005-0000-0000-00009E200000}"/>
    <cellStyle name="Note 2 2 2 2 3 2 2 2" xfId="17201" xr:uid="{75DE7246-9D04-43E3-A120-B5687686DF70}"/>
    <cellStyle name="Note 2 2 2 2 3 2 3" xfId="12984" xr:uid="{29CAD475-506F-4BBC-B77D-33E71FD5E312}"/>
    <cellStyle name="Note 2 2 2 2 3 3" xfId="5730" xr:uid="{00000000-0005-0000-0000-00009F200000}"/>
    <cellStyle name="Note 2 2 2 2 3 3 2" xfId="15056" xr:uid="{BB03803F-AA88-4874-9C4F-6B9C0FE14558}"/>
    <cellStyle name="Note 2 2 2 2 3 4" xfId="10839" xr:uid="{46D7C0A5-531D-4DC9-952D-48B313934A59}"/>
    <cellStyle name="Note 2 2 2 2 4" xfId="1837" xr:uid="{00000000-0005-0000-0000-0000A0200000}"/>
    <cellStyle name="Note 2 2 2 2 4 2" xfId="4066" xr:uid="{00000000-0005-0000-0000-0000A1200000}"/>
    <cellStyle name="Note 2 2 2 2 4 2 2" xfId="8288" xr:uid="{00000000-0005-0000-0000-0000A2200000}"/>
    <cellStyle name="Note 2 2 2 2 4 2 2 2" xfId="17614" xr:uid="{EDE6CFAB-E57F-4C0B-BD3C-2F89CB9C1933}"/>
    <cellStyle name="Note 2 2 2 2 4 2 3" xfId="13397" xr:uid="{3B8221F7-988D-488D-A022-C94879BAFEEA}"/>
    <cellStyle name="Note 2 2 2 2 4 3" xfId="6143" xr:uid="{00000000-0005-0000-0000-0000A3200000}"/>
    <cellStyle name="Note 2 2 2 2 4 3 2" xfId="15469" xr:uid="{E4053861-6D02-4B88-8A4A-4B23770E082A}"/>
    <cellStyle name="Note 2 2 2 2 4 4" xfId="11252" xr:uid="{CB805B08-2596-4764-B44D-B4574888E445}"/>
    <cellStyle name="Note 2 2 2 2 5" xfId="2250" xr:uid="{00000000-0005-0000-0000-0000A4200000}"/>
    <cellStyle name="Note 2 2 2 2 5 2" xfId="4479" xr:uid="{00000000-0005-0000-0000-0000A5200000}"/>
    <cellStyle name="Note 2 2 2 2 5 2 2" xfId="8701" xr:uid="{00000000-0005-0000-0000-0000A6200000}"/>
    <cellStyle name="Note 2 2 2 2 5 2 2 2" xfId="18027" xr:uid="{2066F909-C923-4FC2-976F-80AEFE3C4627}"/>
    <cellStyle name="Note 2 2 2 2 5 2 3" xfId="13810" xr:uid="{C207FE27-3C95-41F1-B896-B6AD83DC6332}"/>
    <cellStyle name="Note 2 2 2 2 5 3" xfId="6556" xr:uid="{00000000-0005-0000-0000-0000A7200000}"/>
    <cellStyle name="Note 2 2 2 2 5 3 2" xfId="15882" xr:uid="{0CED8870-9089-4ED4-9847-3C9E26871C92}"/>
    <cellStyle name="Note 2 2 2 2 5 4" xfId="11665" xr:uid="{B5CD8148-B461-4AA4-85E8-0E4683B16239}"/>
    <cellStyle name="Note 2 2 2 2 6" xfId="2686" xr:uid="{00000000-0005-0000-0000-0000A8200000}"/>
    <cellStyle name="Note 2 2 2 2 6 2" xfId="6969" xr:uid="{00000000-0005-0000-0000-0000A9200000}"/>
    <cellStyle name="Note 2 2 2 2 6 2 2" xfId="16295" xr:uid="{DE6424F1-A347-44E1-A412-5BE94D348CB7}"/>
    <cellStyle name="Note 2 2 2 2 6 3" xfId="12078" xr:uid="{DABBB0CE-ED17-492B-A78F-37C03E0CA564}"/>
    <cellStyle name="Note 2 2 2 2 7" xfId="2745" xr:uid="{00000000-0005-0000-0000-0000AA200000}"/>
    <cellStyle name="Note 2 2 2 2 8" xfId="2826" xr:uid="{00000000-0005-0000-0000-0000AB200000}"/>
    <cellStyle name="Note 2 2 2 2 8 2" xfId="7049" xr:uid="{00000000-0005-0000-0000-0000AC200000}"/>
    <cellStyle name="Note 2 2 2 2 8 2 2" xfId="16375" xr:uid="{6384BD7A-1C71-40B4-9E1F-9FA598A6BF6F}"/>
    <cellStyle name="Note 2 2 2 2 8 3" xfId="12158" xr:uid="{6AAE2C6C-6FB7-4E54-9610-B81204F0E9D6}"/>
    <cellStyle name="Note 2 2 2 2 9" xfId="4904" xr:uid="{00000000-0005-0000-0000-0000AD200000}"/>
    <cellStyle name="Note 2 2 2 2 9 2" xfId="14230" xr:uid="{5D159B3B-2CB8-41DC-AEF8-00A230B26B54}"/>
    <cellStyle name="Note 2 2 2 3" xfId="1007" xr:uid="{00000000-0005-0000-0000-0000AE200000}"/>
    <cellStyle name="Note 2 2 2 3 2" xfId="3239" xr:uid="{00000000-0005-0000-0000-0000AF200000}"/>
    <cellStyle name="Note 2 2 2 3 2 2" xfId="7461" xr:uid="{00000000-0005-0000-0000-0000B0200000}"/>
    <cellStyle name="Note 2 2 2 3 2 2 2" xfId="16787" xr:uid="{57C0FE09-56CB-4AC0-A51C-AFACCB25572E}"/>
    <cellStyle name="Note 2 2 2 3 2 3" xfId="12570" xr:uid="{62E811A5-3F97-420B-8FA8-5973AE93E0DA}"/>
    <cellStyle name="Note 2 2 2 3 3" xfId="5316" xr:uid="{00000000-0005-0000-0000-0000B1200000}"/>
    <cellStyle name="Note 2 2 2 3 3 2" xfId="14642" xr:uid="{86630B78-E85A-4180-88DA-986E157407DD}"/>
    <cellStyle name="Note 2 2 2 3 4" xfId="9369" xr:uid="{37FCA23B-964B-404F-A343-B489211FDCDC}"/>
    <cellStyle name="Note 2 2 2 3 4 2" xfId="18684" xr:uid="{8F9C9487-E0D9-4C77-839F-8A7B255F8ECC}"/>
    <cellStyle name="Note 2 2 2 3 5" xfId="10425" xr:uid="{9FF1632E-7D2F-4527-B624-253D00EBE003}"/>
    <cellStyle name="Note 2 2 2 4" xfId="1422" xr:uid="{00000000-0005-0000-0000-0000B2200000}"/>
    <cellStyle name="Note 2 2 2 4 2" xfId="3652" xr:uid="{00000000-0005-0000-0000-0000B3200000}"/>
    <cellStyle name="Note 2 2 2 4 2 2" xfId="7874" xr:uid="{00000000-0005-0000-0000-0000B4200000}"/>
    <cellStyle name="Note 2 2 2 4 2 2 2" xfId="17200" xr:uid="{B7854AF7-386F-435B-8F7B-C79F2B13B5F8}"/>
    <cellStyle name="Note 2 2 2 4 2 3" xfId="12983" xr:uid="{BC4A27D0-5519-4133-84DD-D6B75AD7079C}"/>
    <cellStyle name="Note 2 2 2 4 3" xfId="5729" xr:uid="{00000000-0005-0000-0000-0000B5200000}"/>
    <cellStyle name="Note 2 2 2 4 3 2" xfId="15055" xr:uid="{F8C79E8B-E568-427F-A5A6-2813BECBCF0D}"/>
    <cellStyle name="Note 2 2 2 4 4" xfId="10838" xr:uid="{FA801FBB-F450-4878-8669-1FDB473135C1}"/>
    <cellStyle name="Note 2 2 2 5" xfId="1836" xr:uid="{00000000-0005-0000-0000-0000B6200000}"/>
    <cellStyle name="Note 2 2 2 5 2" xfId="4065" xr:uid="{00000000-0005-0000-0000-0000B7200000}"/>
    <cellStyle name="Note 2 2 2 5 2 2" xfId="8287" xr:uid="{00000000-0005-0000-0000-0000B8200000}"/>
    <cellStyle name="Note 2 2 2 5 2 2 2" xfId="17613" xr:uid="{E57C963E-F030-4A1E-8CEC-4F8BDB18B941}"/>
    <cellStyle name="Note 2 2 2 5 2 3" xfId="13396" xr:uid="{A63C194D-8970-478C-A994-E1F1BC1A8888}"/>
    <cellStyle name="Note 2 2 2 5 3" xfId="6142" xr:uid="{00000000-0005-0000-0000-0000B9200000}"/>
    <cellStyle name="Note 2 2 2 5 3 2" xfId="15468" xr:uid="{C3520F21-898B-43E3-91E8-3427DC297097}"/>
    <cellStyle name="Note 2 2 2 5 4" xfId="11251" xr:uid="{0E53B6DD-2E79-47DE-A1EF-B63D791E641A}"/>
    <cellStyle name="Note 2 2 2 6" xfId="2249" xr:uid="{00000000-0005-0000-0000-0000BA200000}"/>
    <cellStyle name="Note 2 2 2 6 2" xfId="4478" xr:uid="{00000000-0005-0000-0000-0000BB200000}"/>
    <cellStyle name="Note 2 2 2 6 2 2" xfId="8700" xr:uid="{00000000-0005-0000-0000-0000BC200000}"/>
    <cellStyle name="Note 2 2 2 6 2 2 2" xfId="18026" xr:uid="{B58E2750-137E-43BD-AD61-49DE5A6F71F5}"/>
    <cellStyle name="Note 2 2 2 6 2 3" xfId="13809" xr:uid="{8A52F53E-FE3E-4BAC-ADB8-FE3ED8A4B6E8}"/>
    <cellStyle name="Note 2 2 2 6 3" xfId="6555" xr:uid="{00000000-0005-0000-0000-0000BD200000}"/>
    <cellStyle name="Note 2 2 2 6 3 2" xfId="15881" xr:uid="{6E9209C7-965D-4154-9EE9-39A6F85719DB}"/>
    <cellStyle name="Note 2 2 2 6 4" xfId="11664" xr:uid="{615ECE77-C599-45A3-9752-24A08AD035EA}"/>
    <cellStyle name="Note 2 2 2 7" xfId="2685" xr:uid="{00000000-0005-0000-0000-0000BE200000}"/>
    <cellStyle name="Note 2 2 2 7 2" xfId="6968" xr:uid="{00000000-0005-0000-0000-0000BF200000}"/>
    <cellStyle name="Note 2 2 2 7 2 2" xfId="16294" xr:uid="{9960E6D5-2077-47B6-B56A-8EB9FE6628AC}"/>
    <cellStyle name="Note 2 2 2 7 3" xfId="12077" xr:uid="{2B2FC363-06E6-4DA2-BBA6-05C0441FE212}"/>
    <cellStyle name="Note 2 2 2 8" xfId="2744" xr:uid="{00000000-0005-0000-0000-0000C0200000}"/>
    <cellStyle name="Note 2 2 2 9" xfId="2825" xr:uid="{00000000-0005-0000-0000-0000C1200000}"/>
    <cellStyle name="Note 2 2 2 9 2" xfId="7048" xr:uid="{00000000-0005-0000-0000-0000C2200000}"/>
    <cellStyle name="Note 2 2 2 9 2 2" xfId="16374" xr:uid="{8BE9A5A8-BA85-4038-8721-C302672A65AE}"/>
    <cellStyle name="Note 2 2 2 9 3" xfId="12157" xr:uid="{6498B32B-5847-4C57-99EC-0133BD225D5E}"/>
    <cellStyle name="Note 2 2 3" xfId="548" xr:uid="{00000000-0005-0000-0000-0000C3200000}"/>
    <cellStyle name="Note 2 2 3 10" xfId="9048" xr:uid="{894401FF-B7D8-49E8-91E6-A1C42DD04D54}"/>
    <cellStyle name="Note 2 2 3 10 2" xfId="18372" xr:uid="{D05738D2-3443-412A-9FC1-DC22A2D4AD7A}"/>
    <cellStyle name="Note 2 2 3 11" xfId="10014" xr:uid="{11615CD6-3569-4A34-B1CF-36065CCE82DE}"/>
    <cellStyle name="Note 2 2 3 2" xfId="1009" xr:uid="{00000000-0005-0000-0000-0000C4200000}"/>
    <cellStyle name="Note 2 2 3 2 2" xfId="3241" xr:uid="{00000000-0005-0000-0000-0000C5200000}"/>
    <cellStyle name="Note 2 2 3 2 2 2" xfId="7463" xr:uid="{00000000-0005-0000-0000-0000C6200000}"/>
    <cellStyle name="Note 2 2 3 2 2 2 2" xfId="16789" xr:uid="{56311AAD-9A7F-4357-ABAB-E10E9DB71A2A}"/>
    <cellStyle name="Note 2 2 3 2 2 3" xfId="12572" xr:uid="{A39B108C-C237-42F9-8A5C-B4F3713F43C6}"/>
    <cellStyle name="Note 2 2 3 2 3" xfId="5318" xr:uid="{00000000-0005-0000-0000-0000C7200000}"/>
    <cellStyle name="Note 2 2 3 2 3 2" xfId="14644" xr:uid="{112AA942-60E3-46C1-9738-8A46F772403B}"/>
    <cellStyle name="Note 2 2 3 2 4" xfId="9473" xr:uid="{7711F4E0-385B-44CD-ACEA-5E9D7E4CD8DC}"/>
    <cellStyle name="Note 2 2 3 2 4 2" xfId="18788" xr:uid="{5F452E1F-6A3E-4085-9664-1F2A4509F3C1}"/>
    <cellStyle name="Note 2 2 3 2 5" xfId="10427" xr:uid="{2209848C-B81E-4F40-89C6-33BD264F88FE}"/>
    <cellStyle name="Note 2 2 3 3" xfId="1424" xr:uid="{00000000-0005-0000-0000-0000C8200000}"/>
    <cellStyle name="Note 2 2 3 3 2" xfId="3654" xr:uid="{00000000-0005-0000-0000-0000C9200000}"/>
    <cellStyle name="Note 2 2 3 3 2 2" xfId="7876" xr:uid="{00000000-0005-0000-0000-0000CA200000}"/>
    <cellStyle name="Note 2 2 3 3 2 2 2" xfId="17202" xr:uid="{7CC095D3-49ED-45F4-ADFE-729895DA2BDA}"/>
    <cellStyle name="Note 2 2 3 3 2 3" xfId="12985" xr:uid="{B6C32566-FF29-48C4-9EFC-F9D34671A9E8}"/>
    <cellStyle name="Note 2 2 3 3 3" xfId="5731" xr:uid="{00000000-0005-0000-0000-0000CB200000}"/>
    <cellStyle name="Note 2 2 3 3 3 2" xfId="15057" xr:uid="{AE80C8C4-0B25-4D8C-BF68-B1C14AF07EDC}"/>
    <cellStyle name="Note 2 2 3 3 4" xfId="10840" xr:uid="{6E2BC8BA-648E-4608-BDDA-B8E766A6B71B}"/>
    <cellStyle name="Note 2 2 3 4" xfId="1838" xr:uid="{00000000-0005-0000-0000-0000CC200000}"/>
    <cellStyle name="Note 2 2 3 4 2" xfId="4067" xr:uid="{00000000-0005-0000-0000-0000CD200000}"/>
    <cellStyle name="Note 2 2 3 4 2 2" xfId="8289" xr:uid="{00000000-0005-0000-0000-0000CE200000}"/>
    <cellStyle name="Note 2 2 3 4 2 2 2" xfId="17615" xr:uid="{C3EFC415-C4D5-4B8A-ABDB-6F8B6C19F629}"/>
    <cellStyle name="Note 2 2 3 4 2 3" xfId="13398" xr:uid="{C8897CF1-FDD7-4562-95A6-D129F3E40A08}"/>
    <cellStyle name="Note 2 2 3 4 3" xfId="6144" xr:uid="{00000000-0005-0000-0000-0000CF200000}"/>
    <cellStyle name="Note 2 2 3 4 3 2" xfId="15470" xr:uid="{257E59C8-93B2-4F1D-9EF4-AAE95EC96D57}"/>
    <cellStyle name="Note 2 2 3 4 4" xfId="11253" xr:uid="{276704A9-39BC-4D08-9C8F-97B1418BD3A9}"/>
    <cellStyle name="Note 2 2 3 5" xfId="2251" xr:uid="{00000000-0005-0000-0000-0000D0200000}"/>
    <cellStyle name="Note 2 2 3 5 2" xfId="4480" xr:uid="{00000000-0005-0000-0000-0000D1200000}"/>
    <cellStyle name="Note 2 2 3 5 2 2" xfId="8702" xr:uid="{00000000-0005-0000-0000-0000D2200000}"/>
    <cellStyle name="Note 2 2 3 5 2 2 2" xfId="18028" xr:uid="{0890B825-D2F8-4EA3-8A43-A74CCAF6C140}"/>
    <cellStyle name="Note 2 2 3 5 2 3" xfId="13811" xr:uid="{F2926EA2-F8FA-4038-90F2-3BA3F19A3CE3}"/>
    <cellStyle name="Note 2 2 3 5 3" xfId="6557" xr:uid="{00000000-0005-0000-0000-0000D3200000}"/>
    <cellStyle name="Note 2 2 3 5 3 2" xfId="15883" xr:uid="{463901DF-D295-44DE-9D44-F35A2724B8F3}"/>
    <cellStyle name="Note 2 2 3 5 4" xfId="11666" xr:uid="{FDDB6885-E7A1-425F-8CAD-F25C26109D10}"/>
    <cellStyle name="Note 2 2 3 6" xfId="2687" xr:uid="{00000000-0005-0000-0000-0000D4200000}"/>
    <cellStyle name="Note 2 2 3 6 2" xfId="6970" xr:uid="{00000000-0005-0000-0000-0000D5200000}"/>
    <cellStyle name="Note 2 2 3 6 2 2" xfId="16296" xr:uid="{48B169C8-97A4-4F66-9CB2-9CFE76595FA0}"/>
    <cellStyle name="Note 2 2 3 6 3" xfId="12079" xr:uid="{6EA53D2D-3602-4B51-A9B1-008C1D46CD9E}"/>
    <cellStyle name="Note 2 2 3 7" xfId="2746" xr:uid="{00000000-0005-0000-0000-0000D6200000}"/>
    <cellStyle name="Note 2 2 3 8" xfId="2827" xr:uid="{00000000-0005-0000-0000-0000D7200000}"/>
    <cellStyle name="Note 2 2 3 8 2" xfId="7050" xr:uid="{00000000-0005-0000-0000-0000D8200000}"/>
    <cellStyle name="Note 2 2 3 8 2 2" xfId="16376" xr:uid="{F0909E7B-E6B8-434F-B228-AFE836E759FB}"/>
    <cellStyle name="Note 2 2 3 8 3" xfId="12159" xr:uid="{453501E9-C68A-47D9-92AD-739D9478BB13}"/>
    <cellStyle name="Note 2 2 3 9" xfId="4905" xr:uid="{00000000-0005-0000-0000-0000D9200000}"/>
    <cellStyle name="Note 2 2 3 9 2" xfId="14231" xr:uid="{F60F18B9-BF36-4046-8F7C-879D1DE3D282}"/>
    <cellStyle name="Note 2 2 4" xfId="1006" xr:uid="{00000000-0005-0000-0000-0000DA200000}"/>
    <cellStyle name="Note 2 2 4 2" xfId="3238" xr:uid="{00000000-0005-0000-0000-0000DB200000}"/>
    <cellStyle name="Note 2 2 4 2 2" xfId="7460" xr:uid="{00000000-0005-0000-0000-0000DC200000}"/>
    <cellStyle name="Note 2 2 4 2 2 2" xfId="16786" xr:uid="{F2FB2438-642C-4F46-9B5D-3922D75F2985}"/>
    <cellStyle name="Note 2 2 4 2 3" xfId="12569" xr:uid="{6E9C6EE2-221D-494D-92A9-47345B2067F7}"/>
    <cellStyle name="Note 2 2 4 3" xfId="5315" xr:uid="{00000000-0005-0000-0000-0000DD200000}"/>
    <cellStyle name="Note 2 2 4 3 2" xfId="14641" xr:uid="{62887ED5-D306-4C7E-A885-F630D200332C}"/>
    <cellStyle name="Note 2 2 4 4" xfId="9266" xr:uid="{8B6F7B8D-50FA-47DA-836F-17B0F9492E54}"/>
    <cellStyle name="Note 2 2 4 4 2" xfId="18581" xr:uid="{BA751A82-C90C-4E99-99F7-E04B85ED1740}"/>
    <cellStyle name="Note 2 2 4 5" xfId="10424" xr:uid="{DE773148-CC9A-4DE7-8698-60E066346D83}"/>
    <cellStyle name="Note 2 2 5" xfId="1421" xr:uid="{00000000-0005-0000-0000-0000DE200000}"/>
    <cellStyle name="Note 2 2 5 2" xfId="3651" xr:uid="{00000000-0005-0000-0000-0000DF200000}"/>
    <cellStyle name="Note 2 2 5 2 2" xfId="7873" xr:uid="{00000000-0005-0000-0000-0000E0200000}"/>
    <cellStyle name="Note 2 2 5 2 2 2" xfId="17199" xr:uid="{21AFA2F1-DACF-47C6-93AF-8B358E17BEF4}"/>
    <cellStyle name="Note 2 2 5 2 3" xfId="12982" xr:uid="{F007E00A-2E4C-4274-A789-46569F27182B}"/>
    <cellStyle name="Note 2 2 5 3" xfId="5728" xr:uid="{00000000-0005-0000-0000-0000E1200000}"/>
    <cellStyle name="Note 2 2 5 3 2" xfId="15054" xr:uid="{2D7B8994-1000-4CEC-B264-6F8F67D6D978}"/>
    <cellStyle name="Note 2 2 5 4" xfId="10837" xr:uid="{5246DC39-95B8-4276-AEB6-E598CDDE2C7F}"/>
    <cellStyle name="Note 2 2 6" xfId="1835" xr:uid="{00000000-0005-0000-0000-0000E2200000}"/>
    <cellStyle name="Note 2 2 6 2" xfId="4064" xr:uid="{00000000-0005-0000-0000-0000E3200000}"/>
    <cellStyle name="Note 2 2 6 2 2" xfId="8286" xr:uid="{00000000-0005-0000-0000-0000E4200000}"/>
    <cellStyle name="Note 2 2 6 2 2 2" xfId="17612" xr:uid="{CA409148-12A5-4D47-AA15-2A25A0D2BCCF}"/>
    <cellStyle name="Note 2 2 6 2 3" xfId="13395" xr:uid="{0B52A217-033E-43B4-828C-9650BD8F124D}"/>
    <cellStyle name="Note 2 2 6 3" xfId="6141" xr:uid="{00000000-0005-0000-0000-0000E5200000}"/>
    <cellStyle name="Note 2 2 6 3 2" xfId="15467" xr:uid="{26553B59-691E-406F-A63C-8FC92B4D866E}"/>
    <cellStyle name="Note 2 2 6 4" xfId="11250" xr:uid="{5CF1F347-5053-4500-820E-C68A62655C55}"/>
    <cellStyle name="Note 2 2 7" xfId="2248" xr:uid="{00000000-0005-0000-0000-0000E6200000}"/>
    <cellStyle name="Note 2 2 7 2" xfId="4477" xr:uid="{00000000-0005-0000-0000-0000E7200000}"/>
    <cellStyle name="Note 2 2 7 2 2" xfId="8699" xr:uid="{00000000-0005-0000-0000-0000E8200000}"/>
    <cellStyle name="Note 2 2 7 2 2 2" xfId="18025" xr:uid="{3EE0FC04-E15B-4425-87A1-E402905653A0}"/>
    <cellStyle name="Note 2 2 7 2 3" xfId="13808" xr:uid="{D0771D9F-7E8E-4869-82B9-EC99698AF4C7}"/>
    <cellStyle name="Note 2 2 7 3" xfId="6554" xr:uid="{00000000-0005-0000-0000-0000E9200000}"/>
    <cellStyle name="Note 2 2 7 3 2" xfId="15880" xr:uid="{0311E89F-0B6D-4EE1-B3D6-BB61992E0744}"/>
    <cellStyle name="Note 2 2 7 4" xfId="11663" xr:uid="{C75AFF8E-9887-4640-BD1F-A386DFE40408}"/>
    <cellStyle name="Note 2 2 8" xfId="2684" xr:uid="{00000000-0005-0000-0000-0000EA200000}"/>
    <cellStyle name="Note 2 2 8 2" xfId="6967" xr:uid="{00000000-0005-0000-0000-0000EB200000}"/>
    <cellStyle name="Note 2 2 8 2 2" xfId="16293" xr:uid="{D3B000E2-59FD-4C70-9601-F2192C864F92}"/>
    <cellStyle name="Note 2 2 8 3" xfId="12076" xr:uid="{82CF4143-D529-437A-9DA7-4D0DAF1C95CC}"/>
    <cellStyle name="Note 2 2 9" xfId="2743" xr:uid="{00000000-0005-0000-0000-0000EC200000}"/>
    <cellStyle name="Note 2 3" xfId="549" xr:uid="{00000000-0005-0000-0000-0000ED200000}"/>
    <cellStyle name="Note 2 3 10" xfId="4906" xr:uid="{00000000-0005-0000-0000-0000EE200000}"/>
    <cellStyle name="Note 2 3 10 2" xfId="14232" xr:uid="{32855E30-4978-4FB4-B5A0-ABA640FC9591}"/>
    <cellStyle name="Note 2 3 11" xfId="8894" xr:uid="{2BFFE8D0-DA42-4876-8895-58F80713E965}"/>
    <cellStyle name="Note 2 3 11 2" xfId="18218" xr:uid="{B5850CFB-09CA-4502-906C-B19BBCB3A5EA}"/>
    <cellStyle name="Note 2 3 12" xfId="10015" xr:uid="{9C24F1E3-82AC-4690-BB1F-A723706BCB36}"/>
    <cellStyle name="Note 2 3 2" xfId="550" xr:uid="{00000000-0005-0000-0000-0000EF200000}"/>
    <cellStyle name="Note 2 3 2 10" xfId="9101" xr:uid="{1822EEA2-225E-465E-B4CD-D4615440EC62}"/>
    <cellStyle name="Note 2 3 2 10 2" xfId="18425" xr:uid="{479B8971-AE5E-4E2D-85DE-F64F55478EEF}"/>
    <cellStyle name="Note 2 3 2 11" xfId="10016" xr:uid="{91E39D5E-5A95-4608-BCB2-3FA60BF709AD}"/>
    <cellStyle name="Note 2 3 2 2" xfId="1011" xr:uid="{00000000-0005-0000-0000-0000F0200000}"/>
    <cellStyle name="Note 2 3 2 2 2" xfId="3243" xr:uid="{00000000-0005-0000-0000-0000F1200000}"/>
    <cellStyle name="Note 2 3 2 2 2 2" xfId="7465" xr:uid="{00000000-0005-0000-0000-0000F2200000}"/>
    <cellStyle name="Note 2 3 2 2 2 2 2" xfId="16791" xr:uid="{31558E72-D55D-4079-87D0-65BE6042C756}"/>
    <cellStyle name="Note 2 3 2 2 2 3" xfId="12574" xr:uid="{CD552084-843E-46DD-92CB-7BCDE5AA7250}"/>
    <cellStyle name="Note 2 3 2 2 3" xfId="5320" xr:uid="{00000000-0005-0000-0000-0000F3200000}"/>
    <cellStyle name="Note 2 3 2 2 3 2" xfId="14646" xr:uid="{2008B6A7-5268-4B64-9AE2-828C3893E9F5}"/>
    <cellStyle name="Note 2 3 2 2 4" xfId="9526" xr:uid="{1C428179-0C82-4F5D-9FE4-E11D597F9E89}"/>
    <cellStyle name="Note 2 3 2 2 4 2" xfId="18841" xr:uid="{A3A13E41-E254-4259-8AFD-E21F5DB8644D}"/>
    <cellStyle name="Note 2 3 2 2 5" xfId="10429" xr:uid="{4A4826F8-E9E6-4B9A-A9DD-3C167684F1CE}"/>
    <cellStyle name="Note 2 3 2 3" xfId="1426" xr:uid="{00000000-0005-0000-0000-0000F4200000}"/>
    <cellStyle name="Note 2 3 2 3 2" xfId="3656" xr:uid="{00000000-0005-0000-0000-0000F5200000}"/>
    <cellStyle name="Note 2 3 2 3 2 2" xfId="7878" xr:uid="{00000000-0005-0000-0000-0000F6200000}"/>
    <cellStyle name="Note 2 3 2 3 2 2 2" xfId="17204" xr:uid="{7535F1CA-0A4A-47F0-A19D-02F667F80CF0}"/>
    <cellStyle name="Note 2 3 2 3 2 3" xfId="12987" xr:uid="{74DBCFC1-FE3B-45DC-B22A-C45541296BC8}"/>
    <cellStyle name="Note 2 3 2 3 3" xfId="5733" xr:uid="{00000000-0005-0000-0000-0000F7200000}"/>
    <cellStyle name="Note 2 3 2 3 3 2" xfId="15059" xr:uid="{51F2422C-C7DB-4D65-8742-7CFFCDB5C61F}"/>
    <cellStyle name="Note 2 3 2 3 4" xfId="10842" xr:uid="{8893336B-8C4C-406B-8C9D-25235A4465E2}"/>
    <cellStyle name="Note 2 3 2 4" xfId="1840" xr:uid="{00000000-0005-0000-0000-0000F8200000}"/>
    <cellStyle name="Note 2 3 2 4 2" xfId="4069" xr:uid="{00000000-0005-0000-0000-0000F9200000}"/>
    <cellStyle name="Note 2 3 2 4 2 2" xfId="8291" xr:uid="{00000000-0005-0000-0000-0000FA200000}"/>
    <cellStyle name="Note 2 3 2 4 2 2 2" xfId="17617" xr:uid="{79259B5B-9F43-46D2-B6A6-D47FBB0307B9}"/>
    <cellStyle name="Note 2 3 2 4 2 3" xfId="13400" xr:uid="{20F765F6-020A-4CEE-A529-6EBE0DBE0770}"/>
    <cellStyle name="Note 2 3 2 4 3" xfId="6146" xr:uid="{00000000-0005-0000-0000-0000FB200000}"/>
    <cellStyle name="Note 2 3 2 4 3 2" xfId="15472" xr:uid="{AD99CA90-2DBB-4E7B-BE06-80C9406A02D4}"/>
    <cellStyle name="Note 2 3 2 4 4" xfId="11255" xr:uid="{EC9B2EEF-78AB-41DA-9D3D-A3602DF904B2}"/>
    <cellStyle name="Note 2 3 2 5" xfId="2253" xr:uid="{00000000-0005-0000-0000-0000FC200000}"/>
    <cellStyle name="Note 2 3 2 5 2" xfId="4482" xr:uid="{00000000-0005-0000-0000-0000FD200000}"/>
    <cellStyle name="Note 2 3 2 5 2 2" xfId="8704" xr:uid="{00000000-0005-0000-0000-0000FE200000}"/>
    <cellStyle name="Note 2 3 2 5 2 2 2" xfId="18030" xr:uid="{F6133446-1E79-4505-9219-EC038DD6975F}"/>
    <cellStyle name="Note 2 3 2 5 2 3" xfId="13813" xr:uid="{72D6227E-4384-4E06-95DC-F81FAC01160E}"/>
    <cellStyle name="Note 2 3 2 5 3" xfId="6559" xr:uid="{00000000-0005-0000-0000-0000FF200000}"/>
    <cellStyle name="Note 2 3 2 5 3 2" xfId="15885" xr:uid="{7DCCE522-1367-4DC4-A084-62D2F18DD07E}"/>
    <cellStyle name="Note 2 3 2 5 4" xfId="11668" xr:uid="{C08FF036-58D1-4251-93A5-A2458B81F8EC}"/>
    <cellStyle name="Note 2 3 2 6" xfId="2689" xr:uid="{00000000-0005-0000-0000-000000210000}"/>
    <cellStyle name="Note 2 3 2 6 2" xfId="6972" xr:uid="{00000000-0005-0000-0000-000001210000}"/>
    <cellStyle name="Note 2 3 2 6 2 2" xfId="16298" xr:uid="{8742CEF8-39D3-4BB5-92B4-067BC7FA0AEA}"/>
    <cellStyle name="Note 2 3 2 6 3" xfId="12081" xr:uid="{0ADB48D7-8718-420B-AD49-9E7031E47B8F}"/>
    <cellStyle name="Note 2 3 2 7" xfId="2748" xr:uid="{00000000-0005-0000-0000-000002210000}"/>
    <cellStyle name="Note 2 3 2 8" xfId="2829" xr:uid="{00000000-0005-0000-0000-000003210000}"/>
    <cellStyle name="Note 2 3 2 8 2" xfId="7052" xr:uid="{00000000-0005-0000-0000-000004210000}"/>
    <cellStyle name="Note 2 3 2 8 2 2" xfId="16378" xr:uid="{415A8D76-CA03-496A-B9ED-2D284DEE6F9E}"/>
    <cellStyle name="Note 2 3 2 8 3" xfId="12161" xr:uid="{01B093A9-BBDD-45CF-8090-60AE1B3217B8}"/>
    <cellStyle name="Note 2 3 2 9" xfId="4907" xr:uid="{00000000-0005-0000-0000-000005210000}"/>
    <cellStyle name="Note 2 3 2 9 2" xfId="14233" xr:uid="{A1F17874-C9C4-43FC-95C9-F3958AA38BC4}"/>
    <cellStyle name="Note 2 3 3" xfId="1010" xr:uid="{00000000-0005-0000-0000-000006210000}"/>
    <cellStyle name="Note 2 3 3 2" xfId="3242" xr:uid="{00000000-0005-0000-0000-000007210000}"/>
    <cellStyle name="Note 2 3 3 2 2" xfId="7464" xr:uid="{00000000-0005-0000-0000-000008210000}"/>
    <cellStyle name="Note 2 3 3 2 2 2" xfId="16790" xr:uid="{F4BBD430-36C8-4361-8F07-E7A0BCF4D7A7}"/>
    <cellStyle name="Note 2 3 3 2 3" xfId="12573" xr:uid="{01FD6792-65BF-4D73-B163-49E109B7CEC0}"/>
    <cellStyle name="Note 2 3 3 3" xfId="5319" xr:uid="{00000000-0005-0000-0000-000009210000}"/>
    <cellStyle name="Note 2 3 3 3 2" xfId="14645" xr:uid="{AAB0E7FF-8A9C-4EC4-855E-A9254C40746E}"/>
    <cellStyle name="Note 2 3 3 4" xfId="9319" xr:uid="{06E4A3C6-5CAA-4424-B4C3-41162F21AE7D}"/>
    <cellStyle name="Note 2 3 3 4 2" xfId="18634" xr:uid="{8C1DEC3F-715A-45F0-8F72-E77D56574EF8}"/>
    <cellStyle name="Note 2 3 3 5" xfId="10428" xr:uid="{DC850E6C-EBB3-4E39-B214-3D7714CD88E0}"/>
    <cellStyle name="Note 2 3 4" xfId="1425" xr:uid="{00000000-0005-0000-0000-00000A210000}"/>
    <cellStyle name="Note 2 3 4 2" xfId="3655" xr:uid="{00000000-0005-0000-0000-00000B210000}"/>
    <cellStyle name="Note 2 3 4 2 2" xfId="7877" xr:uid="{00000000-0005-0000-0000-00000C210000}"/>
    <cellStyle name="Note 2 3 4 2 2 2" xfId="17203" xr:uid="{9B566757-0B01-454A-8C7A-579B5F04F946}"/>
    <cellStyle name="Note 2 3 4 2 3" xfId="12986" xr:uid="{3941BF34-E0BA-4F68-95F2-770CFDBC8E3D}"/>
    <cellStyle name="Note 2 3 4 3" xfId="5732" xr:uid="{00000000-0005-0000-0000-00000D210000}"/>
    <cellStyle name="Note 2 3 4 3 2" xfId="15058" xr:uid="{67996924-10FF-4A51-922A-879A8A002FD5}"/>
    <cellStyle name="Note 2 3 4 4" xfId="10841" xr:uid="{A5C9CDFC-737B-4AB6-878A-9C8665850A70}"/>
    <cellStyle name="Note 2 3 5" xfId="1839" xr:uid="{00000000-0005-0000-0000-00000E210000}"/>
    <cellStyle name="Note 2 3 5 2" xfId="4068" xr:uid="{00000000-0005-0000-0000-00000F210000}"/>
    <cellStyle name="Note 2 3 5 2 2" xfId="8290" xr:uid="{00000000-0005-0000-0000-000010210000}"/>
    <cellStyle name="Note 2 3 5 2 2 2" xfId="17616" xr:uid="{70AF5FC8-B79D-41A1-AB5F-1F5E5CFDD1F7}"/>
    <cellStyle name="Note 2 3 5 2 3" xfId="13399" xr:uid="{75694E48-3BBF-49E9-B750-FBBADCFBC5C5}"/>
    <cellStyle name="Note 2 3 5 3" xfId="6145" xr:uid="{00000000-0005-0000-0000-000011210000}"/>
    <cellStyle name="Note 2 3 5 3 2" xfId="15471" xr:uid="{A648F0BC-E7ED-42BB-B6B4-49D38573157B}"/>
    <cellStyle name="Note 2 3 5 4" xfId="11254" xr:uid="{AAB6F8E8-DDBD-4EA4-9670-B76A767B1D40}"/>
    <cellStyle name="Note 2 3 6" xfId="2252" xr:uid="{00000000-0005-0000-0000-000012210000}"/>
    <cellStyle name="Note 2 3 6 2" xfId="4481" xr:uid="{00000000-0005-0000-0000-000013210000}"/>
    <cellStyle name="Note 2 3 6 2 2" xfId="8703" xr:uid="{00000000-0005-0000-0000-000014210000}"/>
    <cellStyle name="Note 2 3 6 2 2 2" xfId="18029" xr:uid="{BB128512-9856-421F-9117-A7A204211F77}"/>
    <cellStyle name="Note 2 3 6 2 3" xfId="13812" xr:uid="{236F3DAC-4270-4041-B618-59779AF09D1D}"/>
    <cellStyle name="Note 2 3 6 3" xfId="6558" xr:uid="{00000000-0005-0000-0000-000015210000}"/>
    <cellStyle name="Note 2 3 6 3 2" xfId="15884" xr:uid="{C17D3F96-0CBA-4093-9041-6F27AE9AF2CD}"/>
    <cellStyle name="Note 2 3 6 4" xfId="11667" xr:uid="{6A420D44-711C-4DC1-BEA2-C2D0A764A289}"/>
    <cellStyle name="Note 2 3 7" xfId="2688" xr:uid="{00000000-0005-0000-0000-000016210000}"/>
    <cellStyle name="Note 2 3 7 2" xfId="6971" xr:uid="{00000000-0005-0000-0000-000017210000}"/>
    <cellStyle name="Note 2 3 7 2 2" xfId="16297" xr:uid="{968C5593-1113-461F-A4B0-8BAF4B18E746}"/>
    <cellStyle name="Note 2 3 7 3" xfId="12080" xr:uid="{B44E1C2E-79E6-41DC-B387-622BC03B6426}"/>
    <cellStyle name="Note 2 3 8" xfId="2747" xr:uid="{00000000-0005-0000-0000-000018210000}"/>
    <cellStyle name="Note 2 3 9" xfId="2828" xr:uid="{00000000-0005-0000-0000-000019210000}"/>
    <cellStyle name="Note 2 3 9 2" xfId="7051" xr:uid="{00000000-0005-0000-0000-00001A210000}"/>
    <cellStyle name="Note 2 3 9 2 2" xfId="16377" xr:uid="{F836B3D1-C309-49EE-9F9D-34262651A668}"/>
    <cellStyle name="Note 2 3 9 3" xfId="12160" xr:uid="{6E08A389-51F8-4808-B87C-4BD3D367877E}"/>
    <cellStyle name="Note 2 4" xfId="551" xr:uid="{00000000-0005-0000-0000-00001B210000}"/>
    <cellStyle name="Note 2 4 10" xfId="8998" xr:uid="{AC87C288-14A9-4FB3-A26C-1706964E6651}"/>
    <cellStyle name="Note 2 4 10 2" xfId="18322" xr:uid="{F5804A04-B539-4317-B970-B84E5FB35BD1}"/>
    <cellStyle name="Note 2 4 11" xfId="10017" xr:uid="{47500E3D-760C-4362-A8E8-0793C9EDE605}"/>
    <cellStyle name="Note 2 4 2" xfId="1012" xr:uid="{00000000-0005-0000-0000-00001C210000}"/>
    <cellStyle name="Note 2 4 2 2" xfId="3244" xr:uid="{00000000-0005-0000-0000-00001D210000}"/>
    <cellStyle name="Note 2 4 2 2 2" xfId="7466" xr:uid="{00000000-0005-0000-0000-00001E210000}"/>
    <cellStyle name="Note 2 4 2 2 2 2" xfId="16792" xr:uid="{D3E6FD45-74CD-45BF-90CA-43124BF77ADB}"/>
    <cellStyle name="Note 2 4 2 2 3" xfId="12575" xr:uid="{C67F4EEF-8DAB-437B-A772-7F7FE8A8631A}"/>
    <cellStyle name="Note 2 4 2 3" xfId="5321" xr:uid="{00000000-0005-0000-0000-00001F210000}"/>
    <cellStyle name="Note 2 4 2 3 2" xfId="14647" xr:uid="{13962154-CEC4-44B5-AB6F-C69F2EB750F3}"/>
    <cellStyle name="Note 2 4 2 4" xfId="9423" xr:uid="{43B93802-BE55-43D9-BEBC-4095E3C1FF74}"/>
    <cellStyle name="Note 2 4 2 4 2" xfId="18738" xr:uid="{DE2BDF6B-8292-47C2-9040-3EB73DE5B00B}"/>
    <cellStyle name="Note 2 4 2 5" xfId="10430" xr:uid="{74F73B7B-2176-4DB8-B1F5-A0D58301F8AC}"/>
    <cellStyle name="Note 2 4 3" xfId="1427" xr:uid="{00000000-0005-0000-0000-000020210000}"/>
    <cellStyle name="Note 2 4 3 2" xfId="3657" xr:uid="{00000000-0005-0000-0000-000021210000}"/>
    <cellStyle name="Note 2 4 3 2 2" xfId="7879" xr:uid="{00000000-0005-0000-0000-000022210000}"/>
    <cellStyle name="Note 2 4 3 2 2 2" xfId="17205" xr:uid="{33CA77C9-9891-47BF-A570-21AC79467185}"/>
    <cellStyle name="Note 2 4 3 2 3" xfId="12988" xr:uid="{F575D7C3-7A00-4FC8-9BE4-B15B94BC461C}"/>
    <cellStyle name="Note 2 4 3 3" xfId="5734" xr:uid="{00000000-0005-0000-0000-000023210000}"/>
    <cellStyle name="Note 2 4 3 3 2" xfId="15060" xr:uid="{B5FD083B-27CE-4D00-9E42-F1548D87F786}"/>
    <cellStyle name="Note 2 4 3 4" xfId="10843" xr:uid="{40D53DDC-BE82-480F-AF4D-4AAE1A58FE38}"/>
    <cellStyle name="Note 2 4 4" xfId="1841" xr:uid="{00000000-0005-0000-0000-000024210000}"/>
    <cellStyle name="Note 2 4 4 2" xfId="4070" xr:uid="{00000000-0005-0000-0000-000025210000}"/>
    <cellStyle name="Note 2 4 4 2 2" xfId="8292" xr:uid="{00000000-0005-0000-0000-000026210000}"/>
    <cellStyle name="Note 2 4 4 2 2 2" xfId="17618" xr:uid="{E44497E1-BC70-490C-8362-453FDF148AF2}"/>
    <cellStyle name="Note 2 4 4 2 3" xfId="13401" xr:uid="{D4A6230C-C7D8-49F8-BA63-D89A4027B05C}"/>
    <cellStyle name="Note 2 4 4 3" xfId="6147" xr:uid="{00000000-0005-0000-0000-000027210000}"/>
    <cellStyle name="Note 2 4 4 3 2" xfId="15473" xr:uid="{81F763B1-0622-46E3-8DA4-A57F02322288}"/>
    <cellStyle name="Note 2 4 4 4" xfId="11256" xr:uid="{787DF097-9A6E-44A2-9F3C-8BEEE80C7382}"/>
    <cellStyle name="Note 2 4 5" xfId="2254" xr:uid="{00000000-0005-0000-0000-000028210000}"/>
    <cellStyle name="Note 2 4 5 2" xfId="4483" xr:uid="{00000000-0005-0000-0000-000029210000}"/>
    <cellStyle name="Note 2 4 5 2 2" xfId="8705" xr:uid="{00000000-0005-0000-0000-00002A210000}"/>
    <cellStyle name="Note 2 4 5 2 2 2" xfId="18031" xr:uid="{0FFD35D7-A8EF-425F-8A48-F94B07F31C29}"/>
    <cellStyle name="Note 2 4 5 2 3" xfId="13814" xr:uid="{08920C3D-8CED-4306-A48A-7D0BA5B34C5A}"/>
    <cellStyle name="Note 2 4 5 3" xfId="6560" xr:uid="{00000000-0005-0000-0000-00002B210000}"/>
    <cellStyle name="Note 2 4 5 3 2" xfId="15886" xr:uid="{BD548540-4978-4E17-86A2-3BA748ECD4E5}"/>
    <cellStyle name="Note 2 4 5 4" xfId="11669" xr:uid="{9F025A8D-4A0F-4F44-9518-9278999F656D}"/>
    <cellStyle name="Note 2 4 6" xfId="2690" xr:uid="{00000000-0005-0000-0000-00002C210000}"/>
    <cellStyle name="Note 2 4 6 2" xfId="6973" xr:uid="{00000000-0005-0000-0000-00002D210000}"/>
    <cellStyle name="Note 2 4 6 2 2" xfId="16299" xr:uid="{2A07DFAB-F431-4675-89BF-ECE0B533C958}"/>
    <cellStyle name="Note 2 4 6 3" xfId="12082" xr:uid="{6A86051E-2A21-48E0-923E-07B14A4526A9}"/>
    <cellStyle name="Note 2 4 7" xfId="2749" xr:uid="{00000000-0005-0000-0000-00002E210000}"/>
    <cellStyle name="Note 2 4 8" xfId="2830" xr:uid="{00000000-0005-0000-0000-00002F210000}"/>
    <cellStyle name="Note 2 4 8 2" xfId="7053" xr:uid="{00000000-0005-0000-0000-000030210000}"/>
    <cellStyle name="Note 2 4 8 2 2" xfId="16379" xr:uid="{EDC34F54-4F42-4B69-924D-0BDB0EFA566D}"/>
    <cellStyle name="Note 2 4 8 3" xfId="12162" xr:uid="{844D3292-84EC-4969-BC5A-1808571E893B}"/>
    <cellStyle name="Note 2 4 9" xfId="4908" xr:uid="{00000000-0005-0000-0000-000031210000}"/>
    <cellStyle name="Note 2 4 9 2" xfId="14234" xr:uid="{EAB42DD6-2BEC-427D-B426-AA4F1E59571B}"/>
    <cellStyle name="Note 2 5" xfId="552" xr:uid="{00000000-0005-0000-0000-000032210000}"/>
    <cellStyle name="Note 2 5 10" xfId="9215" xr:uid="{69947D86-0683-476F-9E74-96CA08091560}"/>
    <cellStyle name="Note 2 5 10 2" xfId="18531" xr:uid="{9639F06A-8BF2-4C04-926F-E70DDFFC1B19}"/>
    <cellStyle name="Note 2 5 11" xfId="10018" xr:uid="{F8D99F4C-1034-4F42-BB9A-660B86519B56}"/>
    <cellStyle name="Note 2 5 2" xfId="1013" xr:uid="{00000000-0005-0000-0000-000033210000}"/>
    <cellStyle name="Note 2 5 2 2" xfId="3245" xr:uid="{00000000-0005-0000-0000-000034210000}"/>
    <cellStyle name="Note 2 5 2 2 2" xfId="7467" xr:uid="{00000000-0005-0000-0000-000035210000}"/>
    <cellStyle name="Note 2 5 2 2 2 2" xfId="16793" xr:uid="{C78D48C2-E3E2-415A-B10F-4FED31BD838C}"/>
    <cellStyle name="Note 2 5 2 2 3" xfId="12576" xr:uid="{4E5796B7-8A16-4EC4-A70F-2A1BB2999E8B}"/>
    <cellStyle name="Note 2 5 2 3" xfId="5322" xr:uid="{00000000-0005-0000-0000-000036210000}"/>
    <cellStyle name="Note 2 5 2 3 2" xfId="14648" xr:uid="{9A799745-AF1A-4B3A-BA43-2AD46A46EA30}"/>
    <cellStyle name="Note 2 5 2 4" xfId="9610" xr:uid="{26530D10-1DF8-4FA4-8FC9-4C945AA92A94}"/>
    <cellStyle name="Note 2 5 2 4 2" xfId="18910" xr:uid="{58382382-DB8E-4416-BA15-3A2BAD7F644D}"/>
    <cellStyle name="Note 2 5 2 5" xfId="10431" xr:uid="{59F3AABF-C168-4D86-A50A-772745B712A2}"/>
    <cellStyle name="Note 2 5 3" xfId="1428" xr:uid="{00000000-0005-0000-0000-000037210000}"/>
    <cellStyle name="Note 2 5 3 2" xfId="3658" xr:uid="{00000000-0005-0000-0000-000038210000}"/>
    <cellStyle name="Note 2 5 3 2 2" xfId="7880" xr:uid="{00000000-0005-0000-0000-000039210000}"/>
    <cellStyle name="Note 2 5 3 2 2 2" xfId="17206" xr:uid="{6F6922D8-B291-444C-BF3F-9D81FA733474}"/>
    <cellStyle name="Note 2 5 3 2 3" xfId="12989" xr:uid="{D789CABA-8E67-41A0-B031-B53ED936AF10}"/>
    <cellStyle name="Note 2 5 3 3" xfId="5735" xr:uid="{00000000-0005-0000-0000-00003A210000}"/>
    <cellStyle name="Note 2 5 3 3 2" xfId="15061" xr:uid="{738520F8-697F-4941-877F-F329C4B04A24}"/>
    <cellStyle name="Note 2 5 3 4" xfId="10844" xr:uid="{002E5DE5-EE51-44A4-A70A-B4EE76ECEE63}"/>
    <cellStyle name="Note 2 5 4" xfId="1842" xr:uid="{00000000-0005-0000-0000-00003B210000}"/>
    <cellStyle name="Note 2 5 4 2" xfId="4071" xr:uid="{00000000-0005-0000-0000-00003C210000}"/>
    <cellStyle name="Note 2 5 4 2 2" xfId="8293" xr:uid="{00000000-0005-0000-0000-00003D210000}"/>
    <cellStyle name="Note 2 5 4 2 2 2" xfId="17619" xr:uid="{B939C965-D92B-4B5F-9647-06B25C73E6AF}"/>
    <cellStyle name="Note 2 5 4 2 3" xfId="13402" xr:uid="{D0DEB27C-A509-4D76-BA9D-CE8DD6B25018}"/>
    <cellStyle name="Note 2 5 4 3" xfId="6148" xr:uid="{00000000-0005-0000-0000-00003E210000}"/>
    <cellStyle name="Note 2 5 4 3 2" xfId="15474" xr:uid="{76BB08E0-6D8F-4685-8017-19D9A06465B7}"/>
    <cellStyle name="Note 2 5 4 4" xfId="11257" xr:uid="{4A8FC1BF-D16A-403B-8F23-DE3DF29EC81F}"/>
    <cellStyle name="Note 2 5 5" xfId="2255" xr:uid="{00000000-0005-0000-0000-00003F210000}"/>
    <cellStyle name="Note 2 5 5 2" xfId="4484" xr:uid="{00000000-0005-0000-0000-000040210000}"/>
    <cellStyle name="Note 2 5 5 2 2" xfId="8706" xr:uid="{00000000-0005-0000-0000-000041210000}"/>
    <cellStyle name="Note 2 5 5 2 2 2" xfId="18032" xr:uid="{07FA53B8-1F36-4796-B89B-86BC90A1CA96}"/>
    <cellStyle name="Note 2 5 5 2 3" xfId="13815" xr:uid="{B78C6855-89BA-401D-9DFE-6475C4408692}"/>
    <cellStyle name="Note 2 5 5 3" xfId="6561" xr:uid="{00000000-0005-0000-0000-000042210000}"/>
    <cellStyle name="Note 2 5 5 3 2" xfId="15887" xr:uid="{B46DA55B-FD5E-4912-9913-751148087F6B}"/>
    <cellStyle name="Note 2 5 5 4" xfId="11670" xr:uid="{B726FDE3-CB67-4D6A-B9E2-DE95D3CD51AB}"/>
    <cellStyle name="Note 2 5 6" xfId="2691" xr:uid="{00000000-0005-0000-0000-000043210000}"/>
    <cellStyle name="Note 2 5 6 2" xfId="6974" xr:uid="{00000000-0005-0000-0000-000044210000}"/>
    <cellStyle name="Note 2 5 6 2 2" xfId="16300" xr:uid="{3249DD3E-DA38-4AAB-869E-0CE5DD796075}"/>
    <cellStyle name="Note 2 5 6 3" xfId="12083" xr:uid="{B5B5022F-02A3-438D-8D5C-59A2F31A91B0}"/>
    <cellStyle name="Note 2 5 7" xfId="2750" xr:uid="{00000000-0005-0000-0000-000045210000}"/>
    <cellStyle name="Note 2 5 8" xfId="2831" xr:uid="{00000000-0005-0000-0000-000046210000}"/>
    <cellStyle name="Note 2 5 8 2" xfId="7054" xr:uid="{00000000-0005-0000-0000-000047210000}"/>
    <cellStyle name="Note 2 5 8 2 2" xfId="16380" xr:uid="{1D21543D-6CDC-4B3D-9B7E-13284953A5B4}"/>
    <cellStyle name="Note 2 5 8 3" xfId="12163" xr:uid="{0B02884C-79B4-460A-9DA6-26AA9FBB0411}"/>
    <cellStyle name="Note 2 5 9" xfId="4909" xr:uid="{00000000-0005-0000-0000-000048210000}"/>
    <cellStyle name="Note 2 5 9 2" xfId="14235" xr:uid="{D9AD26A8-ABD2-454E-91EE-61B74A33EB89}"/>
    <cellStyle name="Note 2 6" xfId="9587" xr:uid="{DE0DCBC9-1C06-4AD6-BDCF-10B3C6A625B6}"/>
    <cellStyle name="Note 2 7" xfId="8791" xr:uid="{7AC3614D-154D-4BB0-B207-B3151ECF2433}"/>
    <cellStyle name="Note 2 7 2" xfId="18115" xr:uid="{A2DD43B5-3964-4A4C-B963-15BD2E1AE632}"/>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0 2 2" xfId="16381" xr:uid="{25CF5375-3428-4C75-A80D-718C269D6F5D}"/>
    <cellStyle name="Note 3 2 10 3" xfId="12164" xr:uid="{98AB6B31-CE98-42A4-BAA2-504652C40119}"/>
    <cellStyle name="Note 3 2 11" xfId="4910" xr:uid="{00000000-0005-0000-0000-00004D210000}"/>
    <cellStyle name="Note 3 2 11 2" xfId="14236" xr:uid="{F118AD94-91A5-419F-913E-2AAFE0DC65FD}"/>
    <cellStyle name="Note 3 2 12" xfId="8842" xr:uid="{646587AC-B7A9-43E2-AC1E-1B77745805D8}"/>
    <cellStyle name="Note 3 2 12 2" xfId="18166" xr:uid="{0E71B4B8-F54A-47B8-9CEA-995C13E0013E}"/>
    <cellStyle name="Note 3 2 13" xfId="10019" xr:uid="{B6F3492A-3708-482E-A6A3-9A3BFA8A0F94}"/>
    <cellStyle name="Note 3 2 2" xfId="555" xr:uid="{00000000-0005-0000-0000-00004E210000}"/>
    <cellStyle name="Note 3 2 2 10" xfId="4911" xr:uid="{00000000-0005-0000-0000-00004F210000}"/>
    <cellStyle name="Note 3 2 2 10 2" xfId="14237" xr:uid="{64D25DC3-EF18-4D2C-88CE-9D264E247453}"/>
    <cellStyle name="Note 3 2 2 11" xfId="8945" xr:uid="{D320AF38-4F47-4266-9CB9-3BD7E15BFDAE}"/>
    <cellStyle name="Note 3 2 2 11 2" xfId="18269" xr:uid="{6850A53C-F283-479A-8686-70D3BB152481}"/>
    <cellStyle name="Note 3 2 2 12" xfId="10020" xr:uid="{00EAD3E1-EE6C-4903-9EE4-7E4EF55C0C7F}"/>
    <cellStyle name="Note 3 2 2 2" xfId="556" xr:uid="{00000000-0005-0000-0000-000050210000}"/>
    <cellStyle name="Note 3 2 2 2 10" xfId="9152" xr:uid="{24874F5B-4700-44ED-9556-84C4E89A274D}"/>
    <cellStyle name="Note 3 2 2 2 10 2" xfId="18476" xr:uid="{D4F09E8A-207E-4C40-A7D3-7895C7193ECC}"/>
    <cellStyle name="Note 3 2 2 2 11" xfId="10021" xr:uid="{0DDB0335-EE30-4B23-9C0D-5E7FEA4681E9}"/>
    <cellStyle name="Note 3 2 2 2 2" xfId="1016" xr:uid="{00000000-0005-0000-0000-000051210000}"/>
    <cellStyle name="Note 3 2 2 2 2 2" xfId="3248" xr:uid="{00000000-0005-0000-0000-000052210000}"/>
    <cellStyle name="Note 3 2 2 2 2 2 2" xfId="7470" xr:uid="{00000000-0005-0000-0000-000053210000}"/>
    <cellStyle name="Note 3 2 2 2 2 2 2 2" xfId="16796" xr:uid="{F54C7024-C84E-4B54-8DB9-CC5851D47822}"/>
    <cellStyle name="Note 3 2 2 2 2 2 3" xfId="12579" xr:uid="{B2474E48-1818-42CC-B52C-75C5004FD95C}"/>
    <cellStyle name="Note 3 2 2 2 2 3" xfId="5325" xr:uid="{00000000-0005-0000-0000-000054210000}"/>
    <cellStyle name="Note 3 2 2 2 2 3 2" xfId="14651" xr:uid="{1B854EE4-857A-48D6-B989-3F8524AEBD25}"/>
    <cellStyle name="Note 3 2 2 2 2 4" xfId="9577" xr:uid="{7C0C89D7-CA14-4942-89B2-D584AC810EDC}"/>
    <cellStyle name="Note 3 2 2 2 2 4 2" xfId="18892" xr:uid="{B43AFE99-3EF4-4DA8-B198-BB2D2F4D771A}"/>
    <cellStyle name="Note 3 2 2 2 2 5" xfId="10434" xr:uid="{23604DE7-08E6-41FB-9902-7501DE701E2F}"/>
    <cellStyle name="Note 3 2 2 2 3" xfId="1431" xr:uid="{00000000-0005-0000-0000-000055210000}"/>
    <cellStyle name="Note 3 2 2 2 3 2" xfId="3661" xr:uid="{00000000-0005-0000-0000-000056210000}"/>
    <cellStyle name="Note 3 2 2 2 3 2 2" xfId="7883" xr:uid="{00000000-0005-0000-0000-000057210000}"/>
    <cellStyle name="Note 3 2 2 2 3 2 2 2" xfId="17209" xr:uid="{A64918C2-3D7B-4B6C-A436-06770387974E}"/>
    <cellStyle name="Note 3 2 2 2 3 2 3" xfId="12992" xr:uid="{AEAF6B67-C586-4EAB-A92E-BB737B7CCC96}"/>
    <cellStyle name="Note 3 2 2 2 3 3" xfId="5738" xr:uid="{00000000-0005-0000-0000-000058210000}"/>
    <cellStyle name="Note 3 2 2 2 3 3 2" xfId="15064" xr:uid="{F23A38DA-55AA-4395-BA41-18F50EC61F15}"/>
    <cellStyle name="Note 3 2 2 2 3 4" xfId="10847" xr:uid="{722D3030-3AED-4EF8-8246-7C759F916B2B}"/>
    <cellStyle name="Note 3 2 2 2 4" xfId="1845" xr:uid="{00000000-0005-0000-0000-000059210000}"/>
    <cellStyle name="Note 3 2 2 2 4 2" xfId="4074" xr:uid="{00000000-0005-0000-0000-00005A210000}"/>
    <cellStyle name="Note 3 2 2 2 4 2 2" xfId="8296" xr:uid="{00000000-0005-0000-0000-00005B210000}"/>
    <cellStyle name="Note 3 2 2 2 4 2 2 2" xfId="17622" xr:uid="{AA5E4082-9739-4610-8C22-C2E73E46B809}"/>
    <cellStyle name="Note 3 2 2 2 4 2 3" xfId="13405" xr:uid="{0A0C779C-7F1B-4BFF-89E1-1A0C753D240B}"/>
    <cellStyle name="Note 3 2 2 2 4 3" xfId="6151" xr:uid="{00000000-0005-0000-0000-00005C210000}"/>
    <cellStyle name="Note 3 2 2 2 4 3 2" xfId="15477" xr:uid="{204586AD-0C58-44BF-AA25-57AF1FFA63F3}"/>
    <cellStyle name="Note 3 2 2 2 4 4" xfId="11260" xr:uid="{F35C5BA5-1905-4130-B882-E1EA9E9FCB0A}"/>
    <cellStyle name="Note 3 2 2 2 5" xfId="2258" xr:uid="{00000000-0005-0000-0000-00005D210000}"/>
    <cellStyle name="Note 3 2 2 2 5 2" xfId="4487" xr:uid="{00000000-0005-0000-0000-00005E210000}"/>
    <cellStyle name="Note 3 2 2 2 5 2 2" xfId="8709" xr:uid="{00000000-0005-0000-0000-00005F210000}"/>
    <cellStyle name="Note 3 2 2 2 5 2 2 2" xfId="18035" xr:uid="{D5ACA845-3456-4A57-84DE-8E529C77B0BE}"/>
    <cellStyle name="Note 3 2 2 2 5 2 3" xfId="13818" xr:uid="{FC43995C-23BE-4553-A82E-CD3BE4D6A484}"/>
    <cellStyle name="Note 3 2 2 2 5 3" xfId="6564" xr:uid="{00000000-0005-0000-0000-000060210000}"/>
    <cellStyle name="Note 3 2 2 2 5 3 2" xfId="15890" xr:uid="{626C1BD3-5462-489E-9774-3C0B4571539E}"/>
    <cellStyle name="Note 3 2 2 2 5 4" xfId="11673" xr:uid="{4ABCD1F6-1D46-45B9-B83B-4C4635C06382}"/>
    <cellStyle name="Note 3 2 2 2 6" xfId="2694" xr:uid="{00000000-0005-0000-0000-000061210000}"/>
    <cellStyle name="Note 3 2 2 2 6 2" xfId="6977" xr:uid="{00000000-0005-0000-0000-000062210000}"/>
    <cellStyle name="Note 3 2 2 2 6 2 2" xfId="16303" xr:uid="{F5EDB1C5-D1CB-41C5-90D2-2C4830C7FB35}"/>
    <cellStyle name="Note 3 2 2 2 6 3" xfId="12086" xr:uid="{7F2E09F3-FD01-4B99-8680-A7CA50D2BB43}"/>
    <cellStyle name="Note 3 2 2 2 7" xfId="2753" xr:uid="{00000000-0005-0000-0000-000063210000}"/>
    <cellStyle name="Note 3 2 2 2 8" xfId="2834" xr:uid="{00000000-0005-0000-0000-000064210000}"/>
    <cellStyle name="Note 3 2 2 2 8 2" xfId="7057" xr:uid="{00000000-0005-0000-0000-000065210000}"/>
    <cellStyle name="Note 3 2 2 2 8 2 2" xfId="16383" xr:uid="{9E2C8DA4-3562-437C-98D3-7C02B9F751A8}"/>
    <cellStyle name="Note 3 2 2 2 8 3" xfId="12166" xr:uid="{E7514072-A11F-4C35-ABEA-99C9DCB1130A}"/>
    <cellStyle name="Note 3 2 2 2 9" xfId="4912" xr:uid="{00000000-0005-0000-0000-000066210000}"/>
    <cellStyle name="Note 3 2 2 2 9 2" xfId="14238" xr:uid="{B6A14A05-1AF3-43CF-8941-6AA7BC669343}"/>
    <cellStyle name="Note 3 2 2 3" xfId="1015" xr:uid="{00000000-0005-0000-0000-000067210000}"/>
    <cellStyle name="Note 3 2 2 3 2" xfId="3247" xr:uid="{00000000-0005-0000-0000-000068210000}"/>
    <cellStyle name="Note 3 2 2 3 2 2" xfId="7469" xr:uid="{00000000-0005-0000-0000-000069210000}"/>
    <cellStyle name="Note 3 2 2 3 2 2 2" xfId="16795" xr:uid="{8C6602A9-40A4-470D-99D5-5BAB7B881BB4}"/>
    <cellStyle name="Note 3 2 2 3 2 3" xfId="12578" xr:uid="{5478D232-FFA9-4ED3-A51C-3073CD1B4957}"/>
    <cellStyle name="Note 3 2 2 3 3" xfId="5324" xr:uid="{00000000-0005-0000-0000-00006A210000}"/>
    <cellStyle name="Note 3 2 2 3 3 2" xfId="14650" xr:uid="{135375EE-26CD-4012-A43E-22A0E194F740}"/>
    <cellStyle name="Note 3 2 2 3 4" xfId="9370" xr:uid="{7A803908-679B-4EF0-9BD4-89724B1FB321}"/>
    <cellStyle name="Note 3 2 2 3 4 2" xfId="18685" xr:uid="{E272C6EE-CB27-42C5-B13E-38F08A161AA7}"/>
    <cellStyle name="Note 3 2 2 3 5" xfId="10433" xr:uid="{F1774675-E739-4B90-8AE6-CB2A1C89D247}"/>
    <cellStyle name="Note 3 2 2 4" xfId="1430" xr:uid="{00000000-0005-0000-0000-00006B210000}"/>
    <cellStyle name="Note 3 2 2 4 2" xfId="3660" xr:uid="{00000000-0005-0000-0000-00006C210000}"/>
    <cellStyle name="Note 3 2 2 4 2 2" xfId="7882" xr:uid="{00000000-0005-0000-0000-00006D210000}"/>
    <cellStyle name="Note 3 2 2 4 2 2 2" xfId="17208" xr:uid="{E9D08928-BE48-4B2C-987E-C7DA101DD1D8}"/>
    <cellStyle name="Note 3 2 2 4 2 3" xfId="12991" xr:uid="{931A2173-C6E5-4AA2-B1BA-4BB408098604}"/>
    <cellStyle name="Note 3 2 2 4 3" xfId="5737" xr:uid="{00000000-0005-0000-0000-00006E210000}"/>
    <cellStyle name="Note 3 2 2 4 3 2" xfId="15063" xr:uid="{2D39885E-AD3B-4062-A62D-291AC693C554}"/>
    <cellStyle name="Note 3 2 2 4 4" xfId="10846" xr:uid="{74DC679D-723E-4A38-A446-3443F0CEE248}"/>
    <cellStyle name="Note 3 2 2 5" xfId="1844" xr:uid="{00000000-0005-0000-0000-00006F210000}"/>
    <cellStyle name="Note 3 2 2 5 2" xfId="4073" xr:uid="{00000000-0005-0000-0000-000070210000}"/>
    <cellStyle name="Note 3 2 2 5 2 2" xfId="8295" xr:uid="{00000000-0005-0000-0000-000071210000}"/>
    <cellStyle name="Note 3 2 2 5 2 2 2" xfId="17621" xr:uid="{2F180FBD-794E-46AF-B3D4-6646384A9B3A}"/>
    <cellStyle name="Note 3 2 2 5 2 3" xfId="13404" xr:uid="{5F1B58E3-05C0-4E97-B939-466CACDD8D7B}"/>
    <cellStyle name="Note 3 2 2 5 3" xfId="6150" xr:uid="{00000000-0005-0000-0000-000072210000}"/>
    <cellStyle name="Note 3 2 2 5 3 2" xfId="15476" xr:uid="{35C2F315-4D8E-4F84-83F0-6EEDB4655016}"/>
    <cellStyle name="Note 3 2 2 5 4" xfId="11259" xr:uid="{F9C1ED93-AADD-4042-8131-D7DBC82E137F}"/>
    <cellStyle name="Note 3 2 2 6" xfId="2257" xr:uid="{00000000-0005-0000-0000-000073210000}"/>
    <cellStyle name="Note 3 2 2 6 2" xfId="4486" xr:uid="{00000000-0005-0000-0000-000074210000}"/>
    <cellStyle name="Note 3 2 2 6 2 2" xfId="8708" xr:uid="{00000000-0005-0000-0000-000075210000}"/>
    <cellStyle name="Note 3 2 2 6 2 2 2" xfId="18034" xr:uid="{945E16CE-381A-47EC-A829-50EA2BECDAF6}"/>
    <cellStyle name="Note 3 2 2 6 2 3" xfId="13817" xr:uid="{2F0BC743-4E22-4BAC-B081-6EF80AED52DA}"/>
    <cellStyle name="Note 3 2 2 6 3" xfId="6563" xr:uid="{00000000-0005-0000-0000-000076210000}"/>
    <cellStyle name="Note 3 2 2 6 3 2" xfId="15889" xr:uid="{56AC8224-159B-44A8-A84D-A78E252AC264}"/>
    <cellStyle name="Note 3 2 2 6 4" xfId="11672" xr:uid="{50C11074-D3DA-4F0E-AE70-3D69E087FBF7}"/>
    <cellStyle name="Note 3 2 2 7" xfId="2693" xr:uid="{00000000-0005-0000-0000-000077210000}"/>
    <cellStyle name="Note 3 2 2 7 2" xfId="6976" xr:uid="{00000000-0005-0000-0000-000078210000}"/>
    <cellStyle name="Note 3 2 2 7 2 2" xfId="16302" xr:uid="{45E7D1CE-E71C-4D03-869A-B6ECE44126F5}"/>
    <cellStyle name="Note 3 2 2 7 3" xfId="12085" xr:uid="{53598AB6-049F-4C5D-B374-F0EA2A467652}"/>
    <cellStyle name="Note 3 2 2 8" xfId="2752" xr:uid="{00000000-0005-0000-0000-000079210000}"/>
    <cellStyle name="Note 3 2 2 9" xfId="2833" xr:uid="{00000000-0005-0000-0000-00007A210000}"/>
    <cellStyle name="Note 3 2 2 9 2" xfId="7056" xr:uid="{00000000-0005-0000-0000-00007B210000}"/>
    <cellStyle name="Note 3 2 2 9 2 2" xfId="16382" xr:uid="{D5F4A752-1A9A-4715-99A5-3E0F690B941D}"/>
    <cellStyle name="Note 3 2 2 9 3" xfId="12165" xr:uid="{03B4C060-86BC-41DC-B431-44F1778D3FE0}"/>
    <cellStyle name="Note 3 2 3" xfId="557" xr:uid="{00000000-0005-0000-0000-00007C210000}"/>
    <cellStyle name="Note 3 2 3 10" xfId="9049" xr:uid="{98DA21AE-8EED-4AF2-A5D5-94394E9C9EFE}"/>
    <cellStyle name="Note 3 2 3 10 2" xfId="18373" xr:uid="{BE478FB4-1A08-4021-B9E8-02EF5D8F586B}"/>
    <cellStyle name="Note 3 2 3 11" xfId="10022" xr:uid="{CEDDB226-37BB-4538-BAD3-3264446E701A}"/>
    <cellStyle name="Note 3 2 3 2" xfId="1017" xr:uid="{00000000-0005-0000-0000-00007D210000}"/>
    <cellStyle name="Note 3 2 3 2 2" xfId="3249" xr:uid="{00000000-0005-0000-0000-00007E210000}"/>
    <cellStyle name="Note 3 2 3 2 2 2" xfId="7471" xr:uid="{00000000-0005-0000-0000-00007F210000}"/>
    <cellStyle name="Note 3 2 3 2 2 2 2" xfId="16797" xr:uid="{F70C4423-A443-4880-B97E-C01C7875A92C}"/>
    <cellStyle name="Note 3 2 3 2 2 3" xfId="12580" xr:uid="{4EA973A1-9474-487E-A29C-AD3E1BCCCAFB}"/>
    <cellStyle name="Note 3 2 3 2 3" xfId="5326" xr:uid="{00000000-0005-0000-0000-000080210000}"/>
    <cellStyle name="Note 3 2 3 2 3 2" xfId="14652" xr:uid="{62B6831E-CB09-44D0-A953-33D41E2A9214}"/>
    <cellStyle name="Note 3 2 3 2 4" xfId="9474" xr:uid="{8827394E-7DCF-4E58-BF45-94E8587F7D91}"/>
    <cellStyle name="Note 3 2 3 2 4 2" xfId="18789" xr:uid="{5B6F75DE-583E-4198-8F46-06937174A712}"/>
    <cellStyle name="Note 3 2 3 2 5" xfId="10435" xr:uid="{695C8E99-EFB0-4167-BB5C-55B704237AB3}"/>
    <cellStyle name="Note 3 2 3 3" xfId="1432" xr:uid="{00000000-0005-0000-0000-000081210000}"/>
    <cellStyle name="Note 3 2 3 3 2" xfId="3662" xr:uid="{00000000-0005-0000-0000-000082210000}"/>
    <cellStyle name="Note 3 2 3 3 2 2" xfId="7884" xr:uid="{00000000-0005-0000-0000-000083210000}"/>
    <cellStyle name="Note 3 2 3 3 2 2 2" xfId="17210" xr:uid="{F4CC5B15-6023-475D-8C5A-3F23E53E3055}"/>
    <cellStyle name="Note 3 2 3 3 2 3" xfId="12993" xr:uid="{7E394C99-3D57-435A-9CC7-57852CF5DC13}"/>
    <cellStyle name="Note 3 2 3 3 3" xfId="5739" xr:uid="{00000000-0005-0000-0000-000084210000}"/>
    <cellStyle name="Note 3 2 3 3 3 2" xfId="15065" xr:uid="{331D289F-DE05-4908-ACA8-5C97452E022F}"/>
    <cellStyle name="Note 3 2 3 3 4" xfId="10848" xr:uid="{206A79C3-DA14-4710-941C-453724254F3A}"/>
    <cellStyle name="Note 3 2 3 4" xfId="1846" xr:uid="{00000000-0005-0000-0000-000085210000}"/>
    <cellStyle name="Note 3 2 3 4 2" xfId="4075" xr:uid="{00000000-0005-0000-0000-000086210000}"/>
    <cellStyle name="Note 3 2 3 4 2 2" xfId="8297" xr:uid="{00000000-0005-0000-0000-000087210000}"/>
    <cellStyle name="Note 3 2 3 4 2 2 2" xfId="17623" xr:uid="{E2119FE4-DF78-48C0-A3E8-89E59DEBF567}"/>
    <cellStyle name="Note 3 2 3 4 2 3" xfId="13406" xr:uid="{C607108A-E8AA-4411-8A27-728F9BC89283}"/>
    <cellStyle name="Note 3 2 3 4 3" xfId="6152" xr:uid="{00000000-0005-0000-0000-000088210000}"/>
    <cellStyle name="Note 3 2 3 4 3 2" xfId="15478" xr:uid="{B8C9664A-9776-402A-A125-24D5589AF43B}"/>
    <cellStyle name="Note 3 2 3 4 4" xfId="11261" xr:uid="{36DB3531-4D0A-450E-A8C4-9A3F64D68E8D}"/>
    <cellStyle name="Note 3 2 3 5" xfId="2259" xr:uid="{00000000-0005-0000-0000-000089210000}"/>
    <cellStyle name="Note 3 2 3 5 2" xfId="4488" xr:uid="{00000000-0005-0000-0000-00008A210000}"/>
    <cellStyle name="Note 3 2 3 5 2 2" xfId="8710" xr:uid="{00000000-0005-0000-0000-00008B210000}"/>
    <cellStyle name="Note 3 2 3 5 2 2 2" xfId="18036" xr:uid="{33E38293-90EF-46D6-8900-D2F1ECBB49AE}"/>
    <cellStyle name="Note 3 2 3 5 2 3" xfId="13819" xr:uid="{CA1842BD-4026-4394-8F8D-8D4C6DB712CF}"/>
    <cellStyle name="Note 3 2 3 5 3" xfId="6565" xr:uid="{00000000-0005-0000-0000-00008C210000}"/>
    <cellStyle name="Note 3 2 3 5 3 2" xfId="15891" xr:uid="{EF2E4FD9-9DDE-47BD-9316-2E3308F7F6CF}"/>
    <cellStyle name="Note 3 2 3 5 4" xfId="11674" xr:uid="{DC4D50A0-E5BF-4FCF-AF23-E7F4A41A6212}"/>
    <cellStyle name="Note 3 2 3 6" xfId="2695" xr:uid="{00000000-0005-0000-0000-00008D210000}"/>
    <cellStyle name="Note 3 2 3 6 2" xfId="6978" xr:uid="{00000000-0005-0000-0000-00008E210000}"/>
    <cellStyle name="Note 3 2 3 6 2 2" xfId="16304" xr:uid="{0152DBB7-3B00-4B50-8B8F-E0E2B81EA58D}"/>
    <cellStyle name="Note 3 2 3 6 3" xfId="12087" xr:uid="{07D26CF2-5029-4879-9A2F-4A58970852F9}"/>
    <cellStyle name="Note 3 2 3 7" xfId="2754" xr:uid="{00000000-0005-0000-0000-00008F210000}"/>
    <cellStyle name="Note 3 2 3 8" xfId="2835" xr:uid="{00000000-0005-0000-0000-000090210000}"/>
    <cellStyle name="Note 3 2 3 8 2" xfId="7058" xr:uid="{00000000-0005-0000-0000-000091210000}"/>
    <cellStyle name="Note 3 2 3 8 2 2" xfId="16384" xr:uid="{7D86F951-C9D0-4E71-ADF0-FC4A7465FBED}"/>
    <cellStyle name="Note 3 2 3 8 3" xfId="12167" xr:uid="{155D4657-BDF9-435B-A1D3-20001070A62F}"/>
    <cellStyle name="Note 3 2 3 9" xfId="4913" xr:uid="{00000000-0005-0000-0000-000092210000}"/>
    <cellStyle name="Note 3 2 3 9 2" xfId="14239" xr:uid="{68881DB6-9B6E-4264-8258-BB533188E2AA}"/>
    <cellStyle name="Note 3 2 4" xfId="1014" xr:uid="{00000000-0005-0000-0000-000093210000}"/>
    <cellStyle name="Note 3 2 4 2" xfId="3246" xr:uid="{00000000-0005-0000-0000-000094210000}"/>
    <cellStyle name="Note 3 2 4 2 2" xfId="7468" xr:uid="{00000000-0005-0000-0000-000095210000}"/>
    <cellStyle name="Note 3 2 4 2 2 2" xfId="16794" xr:uid="{D1943265-F52C-4CDD-A22B-22004252751B}"/>
    <cellStyle name="Note 3 2 4 2 3" xfId="12577" xr:uid="{0CF7E3B2-770E-4FBD-A003-31ADE060D352}"/>
    <cellStyle name="Note 3 2 4 3" xfId="5323" xr:uid="{00000000-0005-0000-0000-000096210000}"/>
    <cellStyle name="Note 3 2 4 3 2" xfId="14649" xr:uid="{9FBAE464-AD50-432A-8BE6-CFFE0D0EE45D}"/>
    <cellStyle name="Note 3 2 4 4" xfId="9267" xr:uid="{1291CED5-E18E-4F1A-8856-A132B18F5C81}"/>
    <cellStyle name="Note 3 2 4 4 2" xfId="18582" xr:uid="{A3498F34-6F96-4CD7-B408-4D091A82BFCB}"/>
    <cellStyle name="Note 3 2 4 5" xfId="10432" xr:uid="{03611D1B-547B-4104-BDE7-81610637D30D}"/>
    <cellStyle name="Note 3 2 5" xfId="1429" xr:uid="{00000000-0005-0000-0000-000097210000}"/>
    <cellStyle name="Note 3 2 5 2" xfId="3659" xr:uid="{00000000-0005-0000-0000-000098210000}"/>
    <cellStyle name="Note 3 2 5 2 2" xfId="7881" xr:uid="{00000000-0005-0000-0000-000099210000}"/>
    <cellStyle name="Note 3 2 5 2 2 2" xfId="17207" xr:uid="{A3B31B47-D994-4267-8BBD-CA55BFCEFAB1}"/>
    <cellStyle name="Note 3 2 5 2 3" xfId="12990" xr:uid="{AB4A242D-E7DC-42AA-85B2-E5D1404E61A8}"/>
    <cellStyle name="Note 3 2 5 3" xfId="5736" xr:uid="{00000000-0005-0000-0000-00009A210000}"/>
    <cellStyle name="Note 3 2 5 3 2" xfId="15062" xr:uid="{738CCF4F-7C55-4A95-80C5-D190950FAD5E}"/>
    <cellStyle name="Note 3 2 5 4" xfId="10845" xr:uid="{34751C08-8AFA-403A-B222-CE351CE33614}"/>
    <cellStyle name="Note 3 2 6" xfId="1843" xr:uid="{00000000-0005-0000-0000-00009B210000}"/>
    <cellStyle name="Note 3 2 6 2" xfId="4072" xr:uid="{00000000-0005-0000-0000-00009C210000}"/>
    <cellStyle name="Note 3 2 6 2 2" xfId="8294" xr:uid="{00000000-0005-0000-0000-00009D210000}"/>
    <cellStyle name="Note 3 2 6 2 2 2" xfId="17620" xr:uid="{1F7E900E-9DDD-4D4F-9629-64762E8165E9}"/>
    <cellStyle name="Note 3 2 6 2 3" xfId="13403" xr:uid="{E33F7FE2-9639-4C69-BC8F-BC9EA916D874}"/>
    <cellStyle name="Note 3 2 6 3" xfId="6149" xr:uid="{00000000-0005-0000-0000-00009E210000}"/>
    <cellStyle name="Note 3 2 6 3 2" xfId="15475" xr:uid="{48583E3F-1ECD-4FF4-8942-5245E4905B8E}"/>
    <cellStyle name="Note 3 2 6 4" xfId="11258" xr:uid="{0D9590C4-1682-4280-83F4-CBDCE7807E5C}"/>
    <cellStyle name="Note 3 2 7" xfId="2256" xr:uid="{00000000-0005-0000-0000-00009F210000}"/>
    <cellStyle name="Note 3 2 7 2" xfId="4485" xr:uid="{00000000-0005-0000-0000-0000A0210000}"/>
    <cellStyle name="Note 3 2 7 2 2" xfId="8707" xr:uid="{00000000-0005-0000-0000-0000A1210000}"/>
    <cellStyle name="Note 3 2 7 2 2 2" xfId="18033" xr:uid="{1061BDDE-AB20-441D-BE3C-3DDCEA00E4B8}"/>
    <cellStyle name="Note 3 2 7 2 3" xfId="13816" xr:uid="{637E1F97-CB6F-4D42-B5C0-B74657644F54}"/>
    <cellStyle name="Note 3 2 7 3" xfId="6562" xr:uid="{00000000-0005-0000-0000-0000A2210000}"/>
    <cellStyle name="Note 3 2 7 3 2" xfId="15888" xr:uid="{20F4141E-90C5-44FD-9165-C38EF35CD720}"/>
    <cellStyle name="Note 3 2 7 4" xfId="11671" xr:uid="{F62B1A1E-0F8B-4CD5-8F7D-EEC31224F342}"/>
    <cellStyle name="Note 3 2 8" xfId="2692" xr:uid="{00000000-0005-0000-0000-0000A3210000}"/>
    <cellStyle name="Note 3 2 8 2" xfId="6975" xr:uid="{00000000-0005-0000-0000-0000A4210000}"/>
    <cellStyle name="Note 3 2 8 2 2" xfId="16301" xr:uid="{3F45D2B7-66A8-4E27-B5F5-91197F175381}"/>
    <cellStyle name="Note 3 2 8 3" xfId="12084" xr:uid="{2889F11C-58DD-4664-B206-B8DF16BE5515}"/>
    <cellStyle name="Note 3 2 9" xfId="2751" xr:uid="{00000000-0005-0000-0000-0000A5210000}"/>
    <cellStyle name="Note 3 3" xfId="558" xr:uid="{00000000-0005-0000-0000-0000A6210000}"/>
    <cellStyle name="Note 3 3 10" xfId="4914" xr:uid="{00000000-0005-0000-0000-0000A7210000}"/>
    <cellStyle name="Note 3 3 10 2" xfId="14240" xr:uid="{BCE09C61-B145-4108-A70F-C7F8F4E3BDBC}"/>
    <cellStyle name="Note 3 3 11" xfId="8892" xr:uid="{8511F94A-7472-4DD0-A9AB-40754FEE5F47}"/>
    <cellStyle name="Note 3 3 11 2" xfId="18216" xr:uid="{D51166DD-552F-4D7C-A811-173A48FBF218}"/>
    <cellStyle name="Note 3 3 12" xfId="10023" xr:uid="{22038420-2029-47A7-8E37-EE62ACC5DE87}"/>
    <cellStyle name="Note 3 3 2" xfId="559" xr:uid="{00000000-0005-0000-0000-0000A8210000}"/>
    <cellStyle name="Note 3 3 2 10" xfId="9099" xr:uid="{29F3AC20-D296-4B59-BA53-0A5C025B0569}"/>
    <cellStyle name="Note 3 3 2 10 2" xfId="18423" xr:uid="{67033D8C-8504-48A6-80F5-1A09397F34D5}"/>
    <cellStyle name="Note 3 3 2 11" xfId="10024" xr:uid="{4FB4D7C5-CB56-48B8-9754-559A5FBB8F83}"/>
    <cellStyle name="Note 3 3 2 2" xfId="1019" xr:uid="{00000000-0005-0000-0000-0000A9210000}"/>
    <cellStyle name="Note 3 3 2 2 2" xfId="3251" xr:uid="{00000000-0005-0000-0000-0000AA210000}"/>
    <cellStyle name="Note 3 3 2 2 2 2" xfId="7473" xr:uid="{00000000-0005-0000-0000-0000AB210000}"/>
    <cellStyle name="Note 3 3 2 2 2 2 2" xfId="16799" xr:uid="{E287CE8D-62F7-4159-9C7D-1642B43AB7EA}"/>
    <cellStyle name="Note 3 3 2 2 2 3" xfId="12582" xr:uid="{FFE46794-6905-4D50-A189-E0A2D03A72EE}"/>
    <cellStyle name="Note 3 3 2 2 3" xfId="5328" xr:uid="{00000000-0005-0000-0000-0000AC210000}"/>
    <cellStyle name="Note 3 3 2 2 3 2" xfId="14654" xr:uid="{B9C9DC1A-C633-49C7-B714-38665A4F29FC}"/>
    <cellStyle name="Note 3 3 2 2 4" xfId="9524" xr:uid="{D03F5DE7-D9AB-48C0-A1E3-0A929D2C18C5}"/>
    <cellStyle name="Note 3 3 2 2 4 2" xfId="18839" xr:uid="{B1C229A7-30D1-4142-BA28-E3EE4081802F}"/>
    <cellStyle name="Note 3 3 2 2 5" xfId="10437" xr:uid="{72FBF80F-BFC8-4762-8137-9323D3D91B58}"/>
    <cellStyle name="Note 3 3 2 3" xfId="1434" xr:uid="{00000000-0005-0000-0000-0000AD210000}"/>
    <cellStyle name="Note 3 3 2 3 2" xfId="3664" xr:uid="{00000000-0005-0000-0000-0000AE210000}"/>
    <cellStyle name="Note 3 3 2 3 2 2" xfId="7886" xr:uid="{00000000-0005-0000-0000-0000AF210000}"/>
    <cellStyle name="Note 3 3 2 3 2 2 2" xfId="17212" xr:uid="{DA15D691-E602-438F-A3A3-B2AF86D2FBCC}"/>
    <cellStyle name="Note 3 3 2 3 2 3" xfId="12995" xr:uid="{3178C821-185C-4197-9080-69E785486F45}"/>
    <cellStyle name="Note 3 3 2 3 3" xfId="5741" xr:uid="{00000000-0005-0000-0000-0000B0210000}"/>
    <cellStyle name="Note 3 3 2 3 3 2" xfId="15067" xr:uid="{D6F42085-3F3F-4524-83A1-88E82E2C538C}"/>
    <cellStyle name="Note 3 3 2 3 4" xfId="10850" xr:uid="{9B64A269-7246-4F24-B429-CCA6A61E9674}"/>
    <cellStyle name="Note 3 3 2 4" xfId="1848" xr:uid="{00000000-0005-0000-0000-0000B1210000}"/>
    <cellStyle name="Note 3 3 2 4 2" xfId="4077" xr:uid="{00000000-0005-0000-0000-0000B2210000}"/>
    <cellStyle name="Note 3 3 2 4 2 2" xfId="8299" xr:uid="{00000000-0005-0000-0000-0000B3210000}"/>
    <cellStyle name="Note 3 3 2 4 2 2 2" xfId="17625" xr:uid="{620EFAC3-483A-4829-836E-AB38C52AA1CF}"/>
    <cellStyle name="Note 3 3 2 4 2 3" xfId="13408" xr:uid="{FE331F55-A5C8-4CAF-94CC-28FC12C4D72D}"/>
    <cellStyle name="Note 3 3 2 4 3" xfId="6154" xr:uid="{00000000-0005-0000-0000-0000B4210000}"/>
    <cellStyle name="Note 3 3 2 4 3 2" xfId="15480" xr:uid="{913EBF9D-C90D-4204-90B2-C203E84B68DC}"/>
    <cellStyle name="Note 3 3 2 4 4" xfId="11263" xr:uid="{87875825-E222-4DA5-B0B7-DE32536B1ABD}"/>
    <cellStyle name="Note 3 3 2 5" xfId="2261" xr:uid="{00000000-0005-0000-0000-0000B5210000}"/>
    <cellStyle name="Note 3 3 2 5 2" xfId="4490" xr:uid="{00000000-0005-0000-0000-0000B6210000}"/>
    <cellStyle name="Note 3 3 2 5 2 2" xfId="8712" xr:uid="{00000000-0005-0000-0000-0000B7210000}"/>
    <cellStyle name="Note 3 3 2 5 2 2 2" xfId="18038" xr:uid="{89146519-7E9C-4CEA-9986-408C1DBC1C05}"/>
    <cellStyle name="Note 3 3 2 5 2 3" xfId="13821" xr:uid="{B54627A8-D112-481D-A4ED-131327CBAC86}"/>
    <cellStyle name="Note 3 3 2 5 3" xfId="6567" xr:uid="{00000000-0005-0000-0000-0000B8210000}"/>
    <cellStyle name="Note 3 3 2 5 3 2" xfId="15893" xr:uid="{58DA1499-0A79-4CAA-AB4A-F934F0F70644}"/>
    <cellStyle name="Note 3 3 2 5 4" xfId="11676" xr:uid="{09854D77-64F2-4567-913F-0D0E2B4EFB0B}"/>
    <cellStyle name="Note 3 3 2 6" xfId="2697" xr:uid="{00000000-0005-0000-0000-0000B9210000}"/>
    <cellStyle name="Note 3 3 2 6 2" xfId="6980" xr:uid="{00000000-0005-0000-0000-0000BA210000}"/>
    <cellStyle name="Note 3 3 2 6 2 2" xfId="16306" xr:uid="{94D1B0BE-12B6-4AFB-A3C6-D03C737E2EBC}"/>
    <cellStyle name="Note 3 3 2 6 3" xfId="12089" xr:uid="{825F94CE-270E-4EC6-A9F5-EA87DAB170D8}"/>
    <cellStyle name="Note 3 3 2 7" xfId="2756" xr:uid="{00000000-0005-0000-0000-0000BB210000}"/>
    <cellStyle name="Note 3 3 2 8" xfId="2837" xr:uid="{00000000-0005-0000-0000-0000BC210000}"/>
    <cellStyle name="Note 3 3 2 8 2" xfId="7060" xr:uid="{00000000-0005-0000-0000-0000BD210000}"/>
    <cellStyle name="Note 3 3 2 8 2 2" xfId="16386" xr:uid="{FC2A79CF-FBCC-4E3C-A571-42C2BFE5CA44}"/>
    <cellStyle name="Note 3 3 2 8 3" xfId="12169" xr:uid="{FC1982F8-9AB0-4EF1-AF19-08F3706BEBFC}"/>
    <cellStyle name="Note 3 3 2 9" xfId="4915" xr:uid="{00000000-0005-0000-0000-0000BE210000}"/>
    <cellStyle name="Note 3 3 2 9 2" xfId="14241" xr:uid="{C17B0648-79D3-440C-AFD4-EB7D91BE62B9}"/>
    <cellStyle name="Note 3 3 3" xfId="1018" xr:uid="{00000000-0005-0000-0000-0000BF210000}"/>
    <cellStyle name="Note 3 3 3 2" xfId="3250" xr:uid="{00000000-0005-0000-0000-0000C0210000}"/>
    <cellStyle name="Note 3 3 3 2 2" xfId="7472" xr:uid="{00000000-0005-0000-0000-0000C1210000}"/>
    <cellStyle name="Note 3 3 3 2 2 2" xfId="16798" xr:uid="{ED5CF92E-1020-4D72-9222-1A4944CE5282}"/>
    <cellStyle name="Note 3 3 3 2 3" xfId="12581" xr:uid="{4C0D13D8-C497-4282-9850-86AACFD2C9F7}"/>
    <cellStyle name="Note 3 3 3 3" xfId="5327" xr:uid="{00000000-0005-0000-0000-0000C2210000}"/>
    <cellStyle name="Note 3 3 3 3 2" xfId="14653" xr:uid="{FE32E6BB-AD4A-497E-A388-03D8C8EB3410}"/>
    <cellStyle name="Note 3 3 3 4" xfId="9317" xr:uid="{171D8024-554D-4F15-BFD3-81CBE1A601EA}"/>
    <cellStyle name="Note 3 3 3 4 2" xfId="18632" xr:uid="{677EBD7F-41CA-4AFE-A7D3-06AEDC2CE6A6}"/>
    <cellStyle name="Note 3 3 3 5" xfId="10436" xr:uid="{19F2DC9C-0CA1-4284-8A06-EC7957E403A8}"/>
    <cellStyle name="Note 3 3 4" xfId="1433" xr:uid="{00000000-0005-0000-0000-0000C3210000}"/>
    <cellStyle name="Note 3 3 4 2" xfId="3663" xr:uid="{00000000-0005-0000-0000-0000C4210000}"/>
    <cellStyle name="Note 3 3 4 2 2" xfId="7885" xr:uid="{00000000-0005-0000-0000-0000C5210000}"/>
    <cellStyle name="Note 3 3 4 2 2 2" xfId="17211" xr:uid="{C489E4D4-2EFC-4E08-84DB-C836ADF30BED}"/>
    <cellStyle name="Note 3 3 4 2 3" xfId="12994" xr:uid="{B9628D44-3305-4520-A22C-9C8E25C9FB63}"/>
    <cellStyle name="Note 3 3 4 3" xfId="5740" xr:uid="{00000000-0005-0000-0000-0000C6210000}"/>
    <cellStyle name="Note 3 3 4 3 2" xfId="15066" xr:uid="{AA2A8200-80A9-40C4-92FD-BEEC1E56B806}"/>
    <cellStyle name="Note 3 3 4 4" xfId="10849" xr:uid="{65406C82-D406-4E34-9E12-D3846FA0C2A2}"/>
    <cellStyle name="Note 3 3 5" xfId="1847" xr:uid="{00000000-0005-0000-0000-0000C7210000}"/>
    <cellStyle name="Note 3 3 5 2" xfId="4076" xr:uid="{00000000-0005-0000-0000-0000C8210000}"/>
    <cellStyle name="Note 3 3 5 2 2" xfId="8298" xr:uid="{00000000-0005-0000-0000-0000C9210000}"/>
    <cellStyle name="Note 3 3 5 2 2 2" xfId="17624" xr:uid="{F19DA123-ADE3-46D3-A619-D08136E045CB}"/>
    <cellStyle name="Note 3 3 5 2 3" xfId="13407" xr:uid="{784D8FA3-06CF-45E3-855B-411AC983C7AA}"/>
    <cellStyle name="Note 3 3 5 3" xfId="6153" xr:uid="{00000000-0005-0000-0000-0000CA210000}"/>
    <cellStyle name="Note 3 3 5 3 2" xfId="15479" xr:uid="{F92B07B8-E5E9-4E59-8121-8A08D52E13C5}"/>
    <cellStyle name="Note 3 3 5 4" xfId="11262" xr:uid="{95AC0701-C74A-4203-BF84-5185FC668A37}"/>
    <cellStyle name="Note 3 3 6" xfId="2260" xr:uid="{00000000-0005-0000-0000-0000CB210000}"/>
    <cellStyle name="Note 3 3 6 2" xfId="4489" xr:uid="{00000000-0005-0000-0000-0000CC210000}"/>
    <cellStyle name="Note 3 3 6 2 2" xfId="8711" xr:uid="{00000000-0005-0000-0000-0000CD210000}"/>
    <cellStyle name="Note 3 3 6 2 2 2" xfId="18037" xr:uid="{A723EC4C-DD6E-4F0D-A86E-6EEA17DC6E08}"/>
    <cellStyle name="Note 3 3 6 2 3" xfId="13820" xr:uid="{44FC34AA-44DD-450F-ADC1-A999561EAD61}"/>
    <cellStyle name="Note 3 3 6 3" xfId="6566" xr:uid="{00000000-0005-0000-0000-0000CE210000}"/>
    <cellStyle name="Note 3 3 6 3 2" xfId="15892" xr:uid="{A3E3A32B-67C1-4793-B7E8-B5C7DC9249C3}"/>
    <cellStyle name="Note 3 3 6 4" xfId="11675" xr:uid="{8198F8DA-B186-455B-9FBF-D750CAB94F5F}"/>
    <cellStyle name="Note 3 3 7" xfId="2696" xr:uid="{00000000-0005-0000-0000-0000CF210000}"/>
    <cellStyle name="Note 3 3 7 2" xfId="6979" xr:uid="{00000000-0005-0000-0000-0000D0210000}"/>
    <cellStyle name="Note 3 3 7 2 2" xfId="16305" xr:uid="{EA07140D-5A98-4840-B42E-E6BBA1773260}"/>
    <cellStyle name="Note 3 3 7 3" xfId="12088" xr:uid="{7A3C5367-0B90-4AE1-B121-8C41E3B82F00}"/>
    <cellStyle name="Note 3 3 8" xfId="2755" xr:uid="{00000000-0005-0000-0000-0000D1210000}"/>
    <cellStyle name="Note 3 3 9" xfId="2836" xr:uid="{00000000-0005-0000-0000-0000D2210000}"/>
    <cellStyle name="Note 3 3 9 2" xfId="7059" xr:uid="{00000000-0005-0000-0000-0000D3210000}"/>
    <cellStyle name="Note 3 3 9 2 2" xfId="16385" xr:uid="{53603693-05D6-4879-B408-4C89D6C0A4B7}"/>
    <cellStyle name="Note 3 3 9 3" xfId="12168" xr:uid="{D5283AB3-6674-4856-9CDE-3E9B8B6E62AA}"/>
    <cellStyle name="Note 3 4" xfId="560" xr:uid="{00000000-0005-0000-0000-0000D4210000}"/>
    <cellStyle name="Note 3 4 10" xfId="8996" xr:uid="{0D704BEA-0820-4E61-9EA3-F4C1E73C6543}"/>
    <cellStyle name="Note 3 4 10 2" xfId="18320" xr:uid="{FB693F03-3057-444E-92D5-82126126F1A6}"/>
    <cellStyle name="Note 3 4 11" xfId="10025" xr:uid="{4CC88794-8E1A-4758-944F-54E9A2885519}"/>
    <cellStyle name="Note 3 4 2" xfId="1020" xr:uid="{00000000-0005-0000-0000-0000D5210000}"/>
    <cellStyle name="Note 3 4 2 2" xfId="3252" xr:uid="{00000000-0005-0000-0000-0000D6210000}"/>
    <cellStyle name="Note 3 4 2 2 2" xfId="7474" xr:uid="{00000000-0005-0000-0000-0000D7210000}"/>
    <cellStyle name="Note 3 4 2 2 2 2" xfId="16800" xr:uid="{D0831BF3-6C3E-4935-9520-F72994B2B8C4}"/>
    <cellStyle name="Note 3 4 2 2 3" xfId="12583" xr:uid="{0721566D-B806-4D4F-86E4-0788F90771AE}"/>
    <cellStyle name="Note 3 4 2 3" xfId="5329" xr:uid="{00000000-0005-0000-0000-0000D8210000}"/>
    <cellStyle name="Note 3 4 2 3 2" xfId="14655" xr:uid="{493CAA4F-EB3C-42AB-9173-B6D4FA76307C}"/>
    <cellStyle name="Note 3 4 2 4" xfId="9421" xr:uid="{EC0A57E0-416C-4EC5-866A-A09E44531CB5}"/>
    <cellStyle name="Note 3 4 2 4 2" xfId="18736" xr:uid="{F164AF62-14C4-4B17-B373-4F7D4A52956E}"/>
    <cellStyle name="Note 3 4 2 5" xfId="10438" xr:uid="{92EB5A15-5B78-433B-9026-679118740AE2}"/>
    <cellStyle name="Note 3 4 3" xfId="1435" xr:uid="{00000000-0005-0000-0000-0000D9210000}"/>
    <cellStyle name="Note 3 4 3 2" xfId="3665" xr:uid="{00000000-0005-0000-0000-0000DA210000}"/>
    <cellStyle name="Note 3 4 3 2 2" xfId="7887" xr:uid="{00000000-0005-0000-0000-0000DB210000}"/>
    <cellStyle name="Note 3 4 3 2 2 2" xfId="17213" xr:uid="{14B3B646-C018-46E4-AB75-251D404FD172}"/>
    <cellStyle name="Note 3 4 3 2 3" xfId="12996" xr:uid="{F4CEBA0A-D688-4068-A5A2-7C6A1E52EDB7}"/>
    <cellStyle name="Note 3 4 3 3" xfId="5742" xr:uid="{00000000-0005-0000-0000-0000DC210000}"/>
    <cellStyle name="Note 3 4 3 3 2" xfId="15068" xr:uid="{F1508E1A-A01B-40FD-BA84-AE362527FFB8}"/>
    <cellStyle name="Note 3 4 3 4" xfId="10851" xr:uid="{C75ABAF6-B110-4C71-84AE-A32290F4FCA5}"/>
    <cellStyle name="Note 3 4 4" xfId="1849" xr:uid="{00000000-0005-0000-0000-0000DD210000}"/>
    <cellStyle name="Note 3 4 4 2" xfId="4078" xr:uid="{00000000-0005-0000-0000-0000DE210000}"/>
    <cellStyle name="Note 3 4 4 2 2" xfId="8300" xr:uid="{00000000-0005-0000-0000-0000DF210000}"/>
    <cellStyle name="Note 3 4 4 2 2 2" xfId="17626" xr:uid="{66762955-BBDF-43FB-B84C-7F33D0145F4C}"/>
    <cellStyle name="Note 3 4 4 2 3" xfId="13409" xr:uid="{153C8C7E-5144-4381-B304-840AE47087BC}"/>
    <cellStyle name="Note 3 4 4 3" xfId="6155" xr:uid="{00000000-0005-0000-0000-0000E0210000}"/>
    <cellStyle name="Note 3 4 4 3 2" xfId="15481" xr:uid="{ED711C92-3398-4D88-BA7B-EBA8D4B05168}"/>
    <cellStyle name="Note 3 4 4 4" xfId="11264" xr:uid="{678B8A4A-64B6-450F-A523-FCDD9677BA39}"/>
    <cellStyle name="Note 3 4 5" xfId="2262" xr:uid="{00000000-0005-0000-0000-0000E1210000}"/>
    <cellStyle name="Note 3 4 5 2" xfId="4491" xr:uid="{00000000-0005-0000-0000-0000E2210000}"/>
    <cellStyle name="Note 3 4 5 2 2" xfId="8713" xr:uid="{00000000-0005-0000-0000-0000E3210000}"/>
    <cellStyle name="Note 3 4 5 2 2 2" xfId="18039" xr:uid="{59BC0FF2-DB61-450D-8EE6-6A9EB6DA6EDD}"/>
    <cellStyle name="Note 3 4 5 2 3" xfId="13822" xr:uid="{A47B4358-6F24-4EE9-8617-1E5FB76D4F95}"/>
    <cellStyle name="Note 3 4 5 3" xfId="6568" xr:uid="{00000000-0005-0000-0000-0000E4210000}"/>
    <cellStyle name="Note 3 4 5 3 2" xfId="15894" xr:uid="{E811519E-3C64-400A-A21B-00AE0F526673}"/>
    <cellStyle name="Note 3 4 5 4" xfId="11677" xr:uid="{366ADB2E-491D-40CA-8DF7-897E12988961}"/>
    <cellStyle name="Note 3 4 6" xfId="2698" xr:uid="{00000000-0005-0000-0000-0000E5210000}"/>
    <cellStyle name="Note 3 4 6 2" xfId="6981" xr:uid="{00000000-0005-0000-0000-0000E6210000}"/>
    <cellStyle name="Note 3 4 6 2 2" xfId="16307" xr:uid="{7A71A0A3-7738-48A9-9AFE-79E5C28098BF}"/>
    <cellStyle name="Note 3 4 6 3" xfId="12090" xr:uid="{2BB2B02E-BE55-4E5A-ACE2-CABCEB29A2E4}"/>
    <cellStyle name="Note 3 4 7" xfId="2757" xr:uid="{00000000-0005-0000-0000-0000E7210000}"/>
    <cellStyle name="Note 3 4 8" xfId="2838" xr:uid="{00000000-0005-0000-0000-0000E8210000}"/>
    <cellStyle name="Note 3 4 8 2" xfId="7061" xr:uid="{00000000-0005-0000-0000-0000E9210000}"/>
    <cellStyle name="Note 3 4 8 2 2" xfId="16387" xr:uid="{4A01915B-749C-4561-B5ED-F5FB241D72EF}"/>
    <cellStyle name="Note 3 4 8 3" xfId="12170" xr:uid="{12D31355-8B3B-4B12-B003-327973191A69}"/>
    <cellStyle name="Note 3 4 9" xfId="4916" xr:uid="{00000000-0005-0000-0000-0000EA210000}"/>
    <cellStyle name="Note 3 4 9 2" xfId="14242" xr:uid="{5EB9CE16-23FB-4739-AACC-BF452DE2B4B9}"/>
    <cellStyle name="Note 3 5" xfId="561" xr:uid="{00000000-0005-0000-0000-0000EB210000}"/>
    <cellStyle name="Note 3 5 10" xfId="9213" xr:uid="{D9D7FB9A-B03C-4A97-A778-36731B43DF3F}"/>
    <cellStyle name="Note 3 5 10 2" xfId="18529" xr:uid="{D3CF2B4F-8BD4-47D3-B4B6-F72E97EABBD6}"/>
    <cellStyle name="Note 3 5 11" xfId="10026" xr:uid="{05A122B2-A15E-4D35-9379-F9BD2770776B}"/>
    <cellStyle name="Note 3 5 2" xfId="1021" xr:uid="{00000000-0005-0000-0000-0000EC210000}"/>
    <cellStyle name="Note 3 5 2 2" xfId="3253" xr:uid="{00000000-0005-0000-0000-0000ED210000}"/>
    <cellStyle name="Note 3 5 2 2 2" xfId="7475" xr:uid="{00000000-0005-0000-0000-0000EE210000}"/>
    <cellStyle name="Note 3 5 2 2 2 2" xfId="16801" xr:uid="{AD1C794A-FFC9-4C5E-B9C4-A2A0076B9871}"/>
    <cellStyle name="Note 3 5 2 2 3" xfId="12584" xr:uid="{6DF2EB7D-7590-44FC-B90C-0EED8E8C5A4F}"/>
    <cellStyle name="Note 3 5 2 3" xfId="5330" xr:uid="{00000000-0005-0000-0000-0000EF210000}"/>
    <cellStyle name="Note 3 5 2 3 2" xfId="14656" xr:uid="{6E8C48E4-D5B1-412B-8FE3-383F36628A44}"/>
    <cellStyle name="Note 3 5 2 4" xfId="9611" xr:uid="{74765414-66B3-4FDA-BA21-3BFFEF98E338}"/>
    <cellStyle name="Note 3 5 2 4 2" xfId="18911" xr:uid="{398FCC0F-4B1F-43BA-B4D5-697859AA3DD7}"/>
    <cellStyle name="Note 3 5 2 5" xfId="10439" xr:uid="{53C10F88-5498-4BC6-BE67-5291E80FBAF8}"/>
    <cellStyle name="Note 3 5 3" xfId="1436" xr:uid="{00000000-0005-0000-0000-0000F0210000}"/>
    <cellStyle name="Note 3 5 3 2" xfId="3666" xr:uid="{00000000-0005-0000-0000-0000F1210000}"/>
    <cellStyle name="Note 3 5 3 2 2" xfId="7888" xr:uid="{00000000-0005-0000-0000-0000F2210000}"/>
    <cellStyle name="Note 3 5 3 2 2 2" xfId="17214" xr:uid="{F8C5046E-54D3-42A0-8727-DA228E4998FA}"/>
    <cellStyle name="Note 3 5 3 2 3" xfId="12997" xr:uid="{F132BF2C-9386-4681-83DE-43E2D7D454C6}"/>
    <cellStyle name="Note 3 5 3 3" xfId="5743" xr:uid="{00000000-0005-0000-0000-0000F3210000}"/>
    <cellStyle name="Note 3 5 3 3 2" xfId="15069" xr:uid="{E9D060B0-7B27-4C7F-941E-64600A1A2A57}"/>
    <cellStyle name="Note 3 5 3 4" xfId="10852" xr:uid="{13643EF9-4386-4388-BCA9-1CE84A0BB1B5}"/>
    <cellStyle name="Note 3 5 4" xfId="1850" xr:uid="{00000000-0005-0000-0000-0000F4210000}"/>
    <cellStyle name="Note 3 5 4 2" xfId="4079" xr:uid="{00000000-0005-0000-0000-0000F5210000}"/>
    <cellStyle name="Note 3 5 4 2 2" xfId="8301" xr:uid="{00000000-0005-0000-0000-0000F6210000}"/>
    <cellStyle name="Note 3 5 4 2 2 2" xfId="17627" xr:uid="{E23C38D2-4040-4F28-9AD0-F48CC7EB1E3F}"/>
    <cellStyle name="Note 3 5 4 2 3" xfId="13410" xr:uid="{E38D1FFD-56DD-41AF-80DC-B8313EB09BDA}"/>
    <cellStyle name="Note 3 5 4 3" xfId="6156" xr:uid="{00000000-0005-0000-0000-0000F7210000}"/>
    <cellStyle name="Note 3 5 4 3 2" xfId="15482" xr:uid="{00A471B4-20B6-4121-82EC-95C64C1FE8F5}"/>
    <cellStyle name="Note 3 5 4 4" xfId="11265" xr:uid="{3CD7D754-7912-4BF2-BA21-50934B221334}"/>
    <cellStyle name="Note 3 5 5" xfId="2263" xr:uid="{00000000-0005-0000-0000-0000F8210000}"/>
    <cellStyle name="Note 3 5 5 2" xfId="4492" xr:uid="{00000000-0005-0000-0000-0000F9210000}"/>
    <cellStyle name="Note 3 5 5 2 2" xfId="8714" xr:uid="{00000000-0005-0000-0000-0000FA210000}"/>
    <cellStyle name="Note 3 5 5 2 2 2" xfId="18040" xr:uid="{EEDB11BF-5F2C-43CD-8045-D39B14EFFD9D}"/>
    <cellStyle name="Note 3 5 5 2 3" xfId="13823" xr:uid="{E39C09A8-3AC7-4C27-B0BA-E80DFA2C6A02}"/>
    <cellStyle name="Note 3 5 5 3" xfId="6569" xr:uid="{00000000-0005-0000-0000-0000FB210000}"/>
    <cellStyle name="Note 3 5 5 3 2" xfId="15895" xr:uid="{93809220-7346-4AFD-970D-0D81924AC8E1}"/>
    <cellStyle name="Note 3 5 5 4" xfId="11678" xr:uid="{5630B4A0-77ED-4C40-855C-A8B0009C9571}"/>
    <cellStyle name="Note 3 5 6" xfId="2699" xr:uid="{00000000-0005-0000-0000-0000FC210000}"/>
    <cellStyle name="Note 3 5 6 2" xfId="6982" xr:uid="{00000000-0005-0000-0000-0000FD210000}"/>
    <cellStyle name="Note 3 5 6 2 2" xfId="16308" xr:uid="{E3F78C7A-C0DD-40DF-98C6-CF390C53DB94}"/>
    <cellStyle name="Note 3 5 6 3" xfId="12091" xr:uid="{D059F76B-2E37-439F-AF5E-439B64EE0D4B}"/>
    <cellStyle name="Note 3 5 7" xfId="2758" xr:uid="{00000000-0005-0000-0000-0000FE210000}"/>
    <cellStyle name="Note 3 5 8" xfId="2839" xr:uid="{00000000-0005-0000-0000-0000FF210000}"/>
    <cellStyle name="Note 3 5 8 2" xfId="7062" xr:uid="{00000000-0005-0000-0000-000000220000}"/>
    <cellStyle name="Note 3 5 8 2 2" xfId="16388" xr:uid="{332B97B1-3625-435B-A4BB-CCEEA63FE19C}"/>
    <cellStyle name="Note 3 5 8 3" xfId="12171" xr:uid="{4E51CCF7-F925-4583-9A82-026543F0F604}"/>
    <cellStyle name="Note 3 5 9" xfId="4917" xr:uid="{00000000-0005-0000-0000-000001220000}"/>
    <cellStyle name="Note 3 5 9 2" xfId="14243" xr:uid="{4894606E-B7AD-4B3E-8BD0-45A6EA269001}"/>
    <cellStyle name="Note 3 6" xfId="9588" xr:uid="{4A2A2C5B-BA67-4FBC-A2F1-7546BE1E0E7F}"/>
    <cellStyle name="Note 3 7" xfId="8789" xr:uid="{EE6BC007-A514-4F23-A927-A69B937DFEC6}"/>
    <cellStyle name="Note 3 7 2" xfId="18113" xr:uid="{2D61D2D8-DBC8-4395-AF5E-0640FD5A7CC7}"/>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3 2 2" xfId="18896" xr:uid="{B2AE6634-8466-496C-BBED-9CB375DDE621}"/>
    <cellStyle name="Percent 3 3" xfId="13826" xr:uid="{28B3F8DE-B18A-4BE9-A6DA-8CD9EAC91DD0}"/>
    <cellStyle name="Percent 4" xfId="4502" xr:uid="{00000000-0005-0000-0000-000007220000}"/>
    <cellStyle name="Percent 4 2" xfId="8717" xr:uid="{00000000-0005-0000-0000-000008220000}"/>
    <cellStyle name="Percent 4 2 2" xfId="18043" xr:uid="{9CFBDE22-8F86-4104-9BB1-B5C0BCD9DE9F}"/>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Percent 4 3 2 2 2 2 2 2" xfId="18062" xr:uid="{57010BE6-51AD-45E4-98FF-2903CC387E4D}"/>
    <cellStyle name="Percent 4 3 2 2 2 2 3" xfId="18059" xr:uid="{0A98BF0F-F1AA-49E6-827E-AA7D784A481A}"/>
    <cellStyle name="Percent 4 3 2 2 2 3" xfId="18056" xr:uid="{B58BF20A-28CC-490B-B85A-0622DE4BC14C}"/>
    <cellStyle name="Percent 4 3 2 2 3" xfId="18052" xr:uid="{53D15CA8-1C54-4DAC-9536-F8866B83DD5A}"/>
    <cellStyle name="Percent 4 3 2 3" xfId="18049" xr:uid="{83122902-4CB4-451D-B76F-EE052D7C8C6F}"/>
    <cellStyle name="Percent 4 3 3" xfId="18046" xr:uid="{4CB36593-195E-4D29-8E08-D91710EB65BD}"/>
    <cellStyle name="Percent 4 4" xfId="13829" xr:uid="{CA9F34B6-25F7-4C08-AF9E-5C17ED192730}"/>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7620</xdr:colOff>
          <xdr:row>77</xdr:row>
          <xdr:rowOff>99060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3.2" zeroHeight="1"/>
  <cols>
    <col min="1" max="5" width="2.5546875" customWidth="1"/>
    <col min="6" max="6" width="3" customWidth="1"/>
    <col min="7" max="36" width="2.5546875" customWidth="1"/>
    <col min="37" max="38" width="2.6640625" customWidth="1"/>
    <col min="39" max="16384" width="2.5546875" hidden="1"/>
  </cols>
  <sheetData>
    <row r="1" spans="1:38">
      <c r="A1" s="1352" t="s">
        <v>548</v>
      </c>
      <c r="B1" s="1352"/>
      <c r="C1" s="1352"/>
      <c r="D1" s="1352"/>
      <c r="E1" s="1352"/>
      <c r="F1" s="1352"/>
      <c r="G1" s="1352"/>
      <c r="H1" s="1352"/>
      <c r="I1" s="1352"/>
      <c r="J1" s="1352"/>
      <c r="K1" s="1352"/>
      <c r="L1" s="1352"/>
      <c r="M1" s="1352"/>
      <c r="N1" s="1352"/>
      <c r="O1" s="1352"/>
      <c r="P1" s="1352"/>
      <c r="Q1" s="1352"/>
      <c r="R1" s="1352"/>
      <c r="S1" s="1352"/>
      <c r="T1" s="1352"/>
      <c r="U1" s="1352"/>
      <c r="V1" s="1352"/>
      <c r="W1" s="1352"/>
      <c r="X1" s="1352"/>
      <c r="Y1" s="1352"/>
      <c r="Z1" s="1352"/>
      <c r="AA1" s="1352"/>
      <c r="AB1" s="1352"/>
      <c r="AC1" s="1352"/>
      <c r="AD1" s="1352"/>
      <c r="AE1" s="1352"/>
      <c r="AF1" s="1352"/>
      <c r="AG1" s="1352"/>
      <c r="AH1" s="1352"/>
      <c r="AI1" s="1352"/>
      <c r="AJ1" s="1352"/>
      <c r="AK1" s="1352"/>
      <c r="AL1" s="1352"/>
    </row>
    <row r="2" spans="1:38" ht="13.8" thickBot="1">
      <c r="A2" s="1353"/>
      <c r="B2" s="1353"/>
      <c r="C2" s="1353"/>
      <c r="D2" s="1353"/>
      <c r="E2" s="1353"/>
      <c r="F2" s="1353"/>
      <c r="G2" s="1353"/>
      <c r="H2" s="1353"/>
      <c r="I2" s="1353"/>
      <c r="J2" s="1353"/>
      <c r="K2" s="1353"/>
      <c r="L2" s="1353"/>
      <c r="M2" s="1353"/>
      <c r="N2" s="1353"/>
      <c r="O2" s="1353"/>
      <c r="P2" s="1353"/>
      <c r="Q2" s="1353"/>
      <c r="R2" s="1353"/>
      <c r="S2" s="1353"/>
      <c r="T2" s="1353"/>
      <c r="U2" s="1353"/>
      <c r="V2" s="1353"/>
      <c r="W2" s="1353"/>
      <c r="X2" s="1353"/>
      <c r="Y2" s="1353"/>
      <c r="Z2" s="1353"/>
      <c r="AA2" s="1353"/>
      <c r="AB2" s="1353"/>
      <c r="AC2" s="1353"/>
      <c r="AD2" s="1353"/>
      <c r="AE2" s="1353"/>
      <c r="AF2" s="1353"/>
      <c r="AG2" s="1353"/>
      <c r="AH2" s="1353"/>
      <c r="AI2" s="1353"/>
      <c r="AJ2" s="1353"/>
      <c r="AK2" s="1353"/>
      <c r="AL2" s="1353"/>
    </row>
    <row r="3" spans="1:38" ht="13.8" thickTop="1"/>
    <row r="4" spans="1:38" s="5" customFormat="1">
      <c r="B4" s="11" t="s">
        <v>554</v>
      </c>
      <c r="C4" s="11" t="s">
        <v>506</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2" customHeight="1">
      <c r="A7" s="204"/>
      <c r="B7" s="204"/>
      <c r="C7" s="205"/>
      <c r="D7" s="1354" t="s">
        <v>1986</v>
      </c>
      <c r="E7" s="1354"/>
      <c r="F7" s="1354"/>
      <c r="G7" s="1354"/>
      <c r="H7" s="1354"/>
      <c r="I7" s="1354"/>
      <c r="J7" s="1354"/>
      <c r="K7" s="1354"/>
      <c r="L7" s="1354"/>
      <c r="M7" s="1354"/>
      <c r="N7" s="1354"/>
      <c r="O7" s="1354"/>
      <c r="P7" s="1354"/>
      <c r="Q7" s="1354"/>
      <c r="R7" s="1354"/>
      <c r="S7" s="1354"/>
      <c r="T7" s="1354"/>
      <c r="U7" s="1354"/>
      <c r="V7" s="1354"/>
      <c r="W7" s="1354"/>
      <c r="X7" s="1354"/>
      <c r="Y7" s="1354"/>
      <c r="Z7" s="1354"/>
      <c r="AA7" s="1354"/>
      <c r="AB7" s="1354"/>
      <c r="AC7" s="1354"/>
      <c r="AD7" s="1354"/>
      <c r="AE7" s="1354"/>
      <c r="AF7" s="1354"/>
      <c r="AG7" s="1354"/>
      <c r="AH7" s="1354"/>
      <c r="AI7" s="1354"/>
      <c r="AJ7" s="1354"/>
      <c r="AK7" s="1354"/>
      <c r="AL7" s="451"/>
    </row>
    <row r="8" spans="1:38">
      <c r="A8" s="204"/>
      <c r="B8" s="204"/>
      <c r="C8" s="205"/>
      <c r="D8" s="1354"/>
      <c r="E8" s="1354"/>
      <c r="F8" s="1354"/>
      <c r="G8" s="1354"/>
      <c r="H8" s="1354"/>
      <c r="I8" s="1354"/>
      <c r="J8" s="1354"/>
      <c r="K8" s="1354"/>
      <c r="L8" s="1354"/>
      <c r="M8" s="1354"/>
      <c r="N8" s="1354"/>
      <c r="O8" s="1354"/>
      <c r="P8" s="1354"/>
      <c r="Q8" s="1354"/>
      <c r="R8" s="1354"/>
      <c r="S8" s="1354"/>
      <c r="T8" s="1354"/>
      <c r="U8" s="1354"/>
      <c r="V8" s="1354"/>
      <c r="W8" s="1354"/>
      <c r="X8" s="1354"/>
      <c r="Y8" s="1354"/>
      <c r="Z8" s="1354"/>
      <c r="AA8" s="1354"/>
      <c r="AB8" s="1354"/>
      <c r="AC8" s="1354"/>
      <c r="AD8" s="1354"/>
      <c r="AE8" s="1354"/>
      <c r="AF8" s="1354"/>
      <c r="AG8" s="1354"/>
      <c r="AH8" s="1354"/>
      <c r="AI8" s="1354"/>
      <c r="AJ8" s="1354"/>
      <c r="AK8" s="1354"/>
      <c r="AL8" s="451"/>
    </row>
    <row r="9" spans="1:38">
      <c r="A9" s="204"/>
      <c r="B9" s="204"/>
      <c r="C9" s="205"/>
      <c r="D9" s="1354"/>
      <c r="E9" s="1354"/>
      <c r="F9" s="1354"/>
      <c r="G9" s="1354"/>
      <c r="H9" s="1354"/>
      <c r="I9" s="1354"/>
      <c r="J9" s="1354"/>
      <c r="K9" s="1354"/>
      <c r="L9" s="1354"/>
      <c r="M9" s="1354"/>
      <c r="N9" s="1354"/>
      <c r="O9" s="1354"/>
      <c r="P9" s="1354"/>
      <c r="Q9" s="1354"/>
      <c r="R9" s="1354"/>
      <c r="S9" s="1354"/>
      <c r="T9" s="1354"/>
      <c r="U9" s="1354"/>
      <c r="V9" s="1354"/>
      <c r="W9" s="1354"/>
      <c r="X9" s="1354"/>
      <c r="Y9" s="1354"/>
      <c r="Z9" s="1354"/>
      <c r="AA9" s="1354"/>
      <c r="AB9" s="1354"/>
      <c r="AC9" s="1354"/>
      <c r="AD9" s="1354"/>
      <c r="AE9" s="1354"/>
      <c r="AF9" s="1354"/>
      <c r="AG9" s="1354"/>
      <c r="AH9" s="1354"/>
      <c r="AI9" s="1354"/>
      <c r="AJ9" s="1354"/>
      <c r="AK9" s="1354"/>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 customHeight="1">
      <c r="A11" s="204"/>
      <c r="B11" s="204"/>
      <c r="C11" s="205"/>
      <c r="D11" s="1354" t="s">
        <v>1987</v>
      </c>
      <c r="E11" s="1354"/>
      <c r="F11" s="1354"/>
      <c r="G11" s="1354"/>
      <c r="H11" s="1354"/>
      <c r="I11" s="1354"/>
      <c r="J11" s="1354"/>
      <c r="K11" s="1354"/>
      <c r="L11" s="1354"/>
      <c r="M11" s="1354"/>
      <c r="N11" s="1354"/>
      <c r="O11" s="1354"/>
      <c r="P11" s="1354"/>
      <c r="Q11" s="1354"/>
      <c r="R11" s="1354"/>
      <c r="S11" s="1354"/>
      <c r="T11" s="1354"/>
      <c r="U11" s="1354"/>
      <c r="V11" s="1354"/>
      <c r="W11" s="1354"/>
      <c r="X11" s="1354"/>
      <c r="Y11" s="1354"/>
      <c r="Z11" s="1354"/>
      <c r="AA11" s="1354"/>
      <c r="AB11" s="1354"/>
      <c r="AC11" s="1354"/>
      <c r="AD11" s="1354"/>
      <c r="AE11" s="1354"/>
      <c r="AF11" s="1354"/>
      <c r="AG11" s="1354"/>
      <c r="AH11" s="1354"/>
      <c r="AI11" s="1354"/>
      <c r="AJ11" s="1354"/>
      <c r="AK11" s="1354"/>
      <c r="AL11" s="451"/>
    </row>
    <row r="12" spans="1:38">
      <c r="A12" s="204"/>
      <c r="B12" s="204"/>
      <c r="C12" s="205"/>
      <c r="D12" s="1354"/>
      <c r="E12" s="1354"/>
      <c r="F12" s="1354"/>
      <c r="G12" s="1354"/>
      <c r="H12" s="1354"/>
      <c r="I12" s="1354"/>
      <c r="J12" s="1354"/>
      <c r="K12" s="1354"/>
      <c r="L12" s="1354"/>
      <c r="M12" s="1354"/>
      <c r="N12" s="1354"/>
      <c r="O12" s="1354"/>
      <c r="P12" s="1354"/>
      <c r="Q12" s="1354"/>
      <c r="R12" s="1354"/>
      <c r="S12" s="1354"/>
      <c r="T12" s="1354"/>
      <c r="U12" s="1354"/>
      <c r="V12" s="1354"/>
      <c r="W12" s="1354"/>
      <c r="X12" s="1354"/>
      <c r="Y12" s="1354"/>
      <c r="Z12" s="1354"/>
      <c r="AA12" s="1354"/>
      <c r="AB12" s="1354"/>
      <c r="AC12" s="1354"/>
      <c r="AD12" s="1354"/>
      <c r="AE12" s="1354"/>
      <c r="AF12" s="1354"/>
      <c r="AG12" s="1354"/>
      <c r="AH12" s="1354"/>
      <c r="AI12" s="1354"/>
      <c r="AJ12" s="1354"/>
      <c r="AK12" s="1354"/>
      <c r="AL12" s="451"/>
    </row>
    <row r="13" spans="1:38">
      <c r="A13" s="204"/>
      <c r="B13" s="204"/>
      <c r="C13" s="205"/>
      <c r="D13" s="1354"/>
      <c r="E13" s="1354"/>
      <c r="F13" s="1354"/>
      <c r="G13" s="1354"/>
      <c r="H13" s="1354"/>
      <c r="I13" s="1354"/>
      <c r="J13" s="1354"/>
      <c r="K13" s="1354"/>
      <c r="L13" s="1354"/>
      <c r="M13" s="1354"/>
      <c r="N13" s="1354"/>
      <c r="O13" s="1354"/>
      <c r="P13" s="1354"/>
      <c r="Q13" s="1354"/>
      <c r="R13" s="1354"/>
      <c r="S13" s="1354"/>
      <c r="T13" s="1354"/>
      <c r="U13" s="1354"/>
      <c r="V13" s="1354"/>
      <c r="W13" s="1354"/>
      <c r="X13" s="1354"/>
      <c r="Y13" s="1354"/>
      <c r="Z13" s="1354"/>
      <c r="AA13" s="1354"/>
      <c r="AB13" s="1354"/>
      <c r="AC13" s="1354"/>
      <c r="AD13" s="1354"/>
      <c r="AE13" s="1354"/>
      <c r="AF13" s="1354"/>
      <c r="AG13" s="1354"/>
      <c r="AH13" s="1354"/>
      <c r="AI13" s="1354"/>
      <c r="AJ13" s="1354"/>
      <c r="AK13" s="1354"/>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 customHeight="1">
      <c r="A15" s="204"/>
      <c r="B15" s="204"/>
      <c r="C15" s="205"/>
      <c r="D15" s="1354" t="s">
        <v>2633</v>
      </c>
      <c r="E15" s="1354"/>
      <c r="F15" s="1354"/>
      <c r="G15" s="1354"/>
      <c r="H15" s="1354"/>
      <c r="I15" s="1354"/>
      <c r="J15" s="1354"/>
      <c r="K15" s="1354"/>
      <c r="L15" s="1354"/>
      <c r="M15" s="1354"/>
      <c r="N15" s="1354"/>
      <c r="O15" s="1354"/>
      <c r="P15" s="1354"/>
      <c r="Q15" s="1354"/>
      <c r="R15" s="1354"/>
      <c r="S15" s="1354"/>
      <c r="T15" s="1354"/>
      <c r="U15" s="1354"/>
      <c r="V15" s="1354"/>
      <c r="W15" s="1354"/>
      <c r="X15" s="1354"/>
      <c r="Y15" s="1354"/>
      <c r="Z15" s="1354"/>
      <c r="AA15" s="1354"/>
      <c r="AB15" s="1354"/>
      <c r="AC15" s="1354"/>
      <c r="AD15" s="1354"/>
      <c r="AE15" s="1354"/>
      <c r="AF15" s="1354"/>
      <c r="AG15" s="1354"/>
      <c r="AH15" s="1354"/>
      <c r="AI15" s="1354"/>
      <c r="AJ15" s="1354"/>
      <c r="AK15" s="1354"/>
      <c r="AL15" s="451"/>
    </row>
    <row r="16" spans="1:38" ht="13.2" customHeight="1">
      <c r="A16" s="204"/>
      <c r="B16" s="204"/>
      <c r="C16" s="205"/>
      <c r="D16" s="1354"/>
      <c r="E16" s="1354"/>
      <c r="F16" s="1354"/>
      <c r="G16" s="1354"/>
      <c r="H16" s="1354"/>
      <c r="I16" s="1354"/>
      <c r="J16" s="1354"/>
      <c r="K16" s="1354"/>
      <c r="L16" s="1354"/>
      <c r="M16" s="1354"/>
      <c r="N16" s="1354"/>
      <c r="O16" s="1354"/>
      <c r="P16" s="1354"/>
      <c r="Q16" s="1354"/>
      <c r="R16" s="1354"/>
      <c r="S16" s="1354"/>
      <c r="T16" s="1354"/>
      <c r="U16" s="1354"/>
      <c r="V16" s="1354"/>
      <c r="W16" s="1354"/>
      <c r="X16" s="1354"/>
      <c r="Y16" s="1354"/>
      <c r="Z16" s="1354"/>
      <c r="AA16" s="1354"/>
      <c r="AB16" s="1354"/>
      <c r="AC16" s="1354"/>
      <c r="AD16" s="1354"/>
      <c r="AE16" s="1354"/>
      <c r="AF16" s="1354"/>
      <c r="AG16" s="1354"/>
      <c r="AH16" s="1354"/>
      <c r="AI16" s="1354"/>
      <c r="AJ16" s="1354"/>
      <c r="AK16" s="1354"/>
      <c r="AL16" s="451"/>
    </row>
    <row r="17" spans="1:38">
      <c r="A17" s="204"/>
      <c r="B17" s="204"/>
      <c r="C17" s="205"/>
      <c r="D17" s="1354"/>
      <c r="E17" s="1354"/>
      <c r="F17" s="1354"/>
      <c r="G17" s="1354"/>
      <c r="H17" s="1354"/>
      <c r="I17" s="1354"/>
      <c r="J17" s="1354"/>
      <c r="K17" s="1354"/>
      <c r="L17" s="1354"/>
      <c r="M17" s="1354"/>
      <c r="N17" s="1354"/>
      <c r="O17" s="1354"/>
      <c r="P17" s="1354"/>
      <c r="Q17" s="1354"/>
      <c r="R17" s="1354"/>
      <c r="S17" s="1354"/>
      <c r="T17" s="1354"/>
      <c r="U17" s="1354"/>
      <c r="V17" s="1354"/>
      <c r="W17" s="1354"/>
      <c r="X17" s="1354"/>
      <c r="Y17" s="1354"/>
      <c r="Z17" s="1354"/>
      <c r="AA17" s="1354"/>
      <c r="AB17" s="1354"/>
      <c r="AC17" s="1354"/>
      <c r="AD17" s="1354"/>
      <c r="AE17" s="1354"/>
      <c r="AF17" s="1354"/>
      <c r="AG17" s="1354"/>
      <c r="AH17" s="1354"/>
      <c r="AI17" s="1354"/>
      <c r="AJ17" s="1354"/>
      <c r="AK17" s="1354"/>
      <c r="AL17" s="451"/>
    </row>
    <row r="18" spans="1:38">
      <c r="A18" s="204"/>
      <c r="B18" s="204"/>
      <c r="C18" s="205"/>
      <c r="D18" s="515" t="s">
        <v>2520</v>
      </c>
      <c r="E18" s="437"/>
      <c r="G18" s="437"/>
      <c r="H18" s="437"/>
      <c r="I18" s="437"/>
      <c r="J18" s="1356" t="s">
        <v>2519</v>
      </c>
      <c r="K18" s="1356"/>
      <c r="L18" s="1356"/>
      <c r="M18" s="1356"/>
      <c r="N18" s="1356"/>
      <c r="O18" s="1356"/>
      <c r="P18" s="1356"/>
      <c r="Q18" s="1356"/>
      <c r="R18" s="1356"/>
      <c r="S18" s="1356"/>
      <c r="T18" s="1356"/>
      <c r="U18" s="1356"/>
      <c r="V18" s="1356"/>
      <c r="W18" s="1356"/>
      <c r="X18" s="1356"/>
      <c r="Y18" s="1356"/>
      <c r="Z18" s="1356"/>
      <c r="AA18" s="1356"/>
      <c r="AB18" s="1356"/>
      <c r="AC18" s="1356"/>
      <c r="AD18" s="1356"/>
      <c r="AE18" s="1356"/>
      <c r="AF18" s="1356"/>
      <c r="AG18" s="1356"/>
      <c r="AH18" s="1356"/>
      <c r="AI18" s="1356"/>
      <c r="AJ18" s="1356"/>
      <c r="AK18" s="1356"/>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 customHeight="1">
      <c r="A20" s="204"/>
      <c r="B20" s="204"/>
      <c r="C20" s="205"/>
      <c r="D20" s="1354" t="s">
        <v>1988</v>
      </c>
      <c r="E20" s="1354"/>
      <c r="F20" s="1354"/>
      <c r="G20" s="1354"/>
      <c r="H20" s="1354"/>
      <c r="I20" s="1354"/>
      <c r="J20" s="1354"/>
      <c r="K20" s="1354"/>
      <c r="L20" s="1354"/>
      <c r="M20" s="1354"/>
      <c r="N20" s="1354"/>
      <c r="O20" s="1354"/>
      <c r="P20" s="1354"/>
      <c r="Q20" s="1354"/>
      <c r="R20" s="1354"/>
      <c r="S20" s="1354"/>
      <c r="T20" s="1354"/>
      <c r="U20" s="1354"/>
      <c r="V20" s="1354"/>
      <c r="W20" s="1354"/>
      <c r="X20" s="1354"/>
      <c r="Y20" s="1354"/>
      <c r="Z20" s="1354"/>
      <c r="AA20" s="1354"/>
      <c r="AB20" s="1354"/>
      <c r="AC20" s="1354"/>
      <c r="AD20" s="1354"/>
      <c r="AE20" s="1354"/>
      <c r="AF20" s="1354"/>
      <c r="AG20" s="1354"/>
      <c r="AH20" s="1354"/>
      <c r="AI20" s="1354"/>
      <c r="AJ20" s="1354"/>
      <c r="AK20" s="1354"/>
      <c r="AL20" s="204"/>
    </row>
    <row r="21" spans="1:38">
      <c r="A21" s="204"/>
      <c r="B21" s="204"/>
      <c r="C21" s="205"/>
      <c r="D21" s="1354"/>
      <c r="E21" s="1354"/>
      <c r="F21" s="1354"/>
      <c r="G21" s="1354"/>
      <c r="H21" s="1354"/>
      <c r="I21" s="1354"/>
      <c r="J21" s="1354"/>
      <c r="K21" s="1354"/>
      <c r="L21" s="1354"/>
      <c r="M21" s="1354"/>
      <c r="N21" s="1354"/>
      <c r="O21" s="1354"/>
      <c r="P21" s="1354"/>
      <c r="Q21" s="1354"/>
      <c r="R21" s="1354"/>
      <c r="S21" s="1354"/>
      <c r="T21" s="1354"/>
      <c r="U21" s="1354"/>
      <c r="V21" s="1354"/>
      <c r="W21" s="1354"/>
      <c r="X21" s="1354"/>
      <c r="Y21" s="1354"/>
      <c r="Z21" s="1354"/>
      <c r="AA21" s="1354"/>
      <c r="AB21" s="1354"/>
      <c r="AC21" s="1354"/>
      <c r="AD21" s="1354"/>
      <c r="AE21" s="1354"/>
      <c r="AF21" s="1354"/>
      <c r="AG21" s="1354"/>
      <c r="AH21" s="1354"/>
      <c r="AI21" s="1354"/>
      <c r="AJ21" s="1354"/>
      <c r="AK21" s="1354"/>
      <c r="AL21" s="204"/>
    </row>
    <row r="22" spans="1:38">
      <c r="A22" s="204"/>
      <c r="B22" s="204"/>
      <c r="C22" s="205"/>
      <c r="D22" s="1354"/>
      <c r="E22" s="1354"/>
      <c r="F22" s="1354"/>
      <c r="G22" s="1354"/>
      <c r="H22" s="1354"/>
      <c r="I22" s="1354"/>
      <c r="J22" s="1354"/>
      <c r="K22" s="1354"/>
      <c r="L22" s="1354"/>
      <c r="M22" s="1354"/>
      <c r="N22" s="1354"/>
      <c r="O22" s="1354"/>
      <c r="P22" s="1354"/>
      <c r="Q22" s="1354"/>
      <c r="R22" s="1354"/>
      <c r="S22" s="1354"/>
      <c r="T22" s="1354"/>
      <c r="U22" s="1354"/>
      <c r="V22" s="1354"/>
      <c r="W22" s="1354"/>
      <c r="X22" s="1354"/>
      <c r="Y22" s="1354"/>
      <c r="Z22" s="1354"/>
      <c r="AA22" s="1354"/>
      <c r="AB22" s="1354"/>
      <c r="AC22" s="1354"/>
      <c r="AD22" s="1354"/>
      <c r="AE22" s="1354"/>
      <c r="AF22" s="1354"/>
      <c r="AG22" s="1354"/>
      <c r="AH22" s="1354"/>
      <c r="AI22" s="1354"/>
      <c r="AJ22" s="1354"/>
      <c r="AK22" s="1354"/>
      <c r="AL22" s="204"/>
    </row>
    <row r="23" spans="1:38" ht="13.2" customHeight="1">
      <c r="A23" s="204"/>
      <c r="B23" s="204"/>
      <c r="C23" s="205"/>
      <c r="D23" s="1354"/>
      <c r="E23" s="1354"/>
      <c r="F23" s="1354"/>
      <c r="G23" s="1354"/>
      <c r="H23" s="1354"/>
      <c r="I23" s="1354"/>
      <c r="J23" s="1354"/>
      <c r="K23" s="1354"/>
      <c r="L23" s="1354"/>
      <c r="M23" s="1354"/>
      <c r="N23" s="1354"/>
      <c r="O23" s="1354"/>
      <c r="P23" s="1354"/>
      <c r="Q23" s="1354"/>
      <c r="R23" s="1354"/>
      <c r="S23" s="1354"/>
      <c r="T23" s="1354"/>
      <c r="U23" s="1354"/>
      <c r="V23" s="1354"/>
      <c r="W23" s="1354"/>
      <c r="X23" s="1354"/>
      <c r="Y23" s="1354"/>
      <c r="Z23" s="1354"/>
      <c r="AA23" s="1354"/>
      <c r="AB23" s="1354"/>
      <c r="AC23" s="1354"/>
      <c r="AD23" s="1354"/>
      <c r="AE23" s="1354"/>
      <c r="AF23" s="1354"/>
      <c r="AG23" s="1354"/>
      <c r="AH23" s="1354"/>
      <c r="AI23" s="1354"/>
      <c r="AJ23" s="1354"/>
      <c r="AK23" s="1354"/>
      <c r="AL23" s="204"/>
    </row>
    <row r="24" spans="1:38">
      <c r="A24" s="204"/>
      <c r="B24" s="204"/>
      <c r="C24" s="205"/>
      <c r="D24" s="1354"/>
      <c r="E24" s="1354"/>
      <c r="F24" s="1354"/>
      <c r="G24" s="1354"/>
      <c r="H24" s="1354"/>
      <c r="I24" s="1354"/>
      <c r="J24" s="1354"/>
      <c r="K24" s="1354"/>
      <c r="L24" s="1354"/>
      <c r="M24" s="1354"/>
      <c r="N24" s="1354"/>
      <c r="O24" s="1354"/>
      <c r="P24" s="1354"/>
      <c r="Q24" s="1354"/>
      <c r="R24" s="1354"/>
      <c r="S24" s="1354"/>
      <c r="T24" s="1354"/>
      <c r="U24" s="1354"/>
      <c r="V24" s="1354"/>
      <c r="W24" s="1354"/>
      <c r="X24" s="1354"/>
      <c r="Y24" s="1354"/>
      <c r="Z24" s="1354"/>
      <c r="AA24" s="1354"/>
      <c r="AB24" s="1354"/>
      <c r="AC24" s="1354"/>
      <c r="AD24" s="1354"/>
      <c r="AE24" s="1354"/>
      <c r="AF24" s="1354"/>
      <c r="AG24" s="1354"/>
      <c r="AH24" s="1354"/>
      <c r="AI24" s="1354"/>
      <c r="AJ24" s="1354"/>
      <c r="AK24" s="1354"/>
      <c r="AL24" s="204"/>
    </row>
    <row r="25" spans="1:38">
      <c r="A25" s="204"/>
      <c r="B25" s="204"/>
      <c r="C25" s="205"/>
      <c r="D25" s="1354"/>
      <c r="E25" s="1354"/>
      <c r="F25" s="1354"/>
      <c r="G25" s="1354"/>
      <c r="H25" s="1354"/>
      <c r="I25" s="1354"/>
      <c r="J25" s="1354"/>
      <c r="K25" s="1354"/>
      <c r="L25" s="1354"/>
      <c r="M25" s="1354"/>
      <c r="N25" s="1354"/>
      <c r="O25" s="1354"/>
      <c r="P25" s="1354"/>
      <c r="Q25" s="1354"/>
      <c r="R25" s="1354"/>
      <c r="S25" s="1354"/>
      <c r="T25" s="1354"/>
      <c r="U25" s="1354"/>
      <c r="V25" s="1354"/>
      <c r="W25" s="1354"/>
      <c r="X25" s="1354"/>
      <c r="Y25" s="1354"/>
      <c r="Z25" s="1354"/>
      <c r="AA25" s="1354"/>
      <c r="AB25" s="1354"/>
      <c r="AC25" s="1354"/>
      <c r="AD25" s="1354"/>
      <c r="AE25" s="1354"/>
      <c r="AF25" s="1354"/>
      <c r="AG25" s="1354"/>
      <c r="AH25" s="1354"/>
      <c r="AI25" s="1354"/>
      <c r="AJ25" s="1354"/>
      <c r="AK25" s="1354"/>
      <c r="AL25" s="204"/>
    </row>
    <row r="26" spans="1:38">
      <c r="A26" s="204"/>
      <c r="B26" s="204"/>
      <c r="C26" s="205"/>
      <c r="D26" s="1354"/>
      <c r="E26" s="1354"/>
      <c r="F26" s="1354"/>
      <c r="G26" s="1354"/>
      <c r="H26" s="1354"/>
      <c r="I26" s="1354"/>
      <c r="J26" s="1354"/>
      <c r="K26" s="1354"/>
      <c r="L26" s="1354"/>
      <c r="M26" s="1354"/>
      <c r="N26" s="1354"/>
      <c r="O26" s="1354"/>
      <c r="P26" s="1354"/>
      <c r="Q26" s="1354"/>
      <c r="R26" s="1354"/>
      <c r="S26" s="1354"/>
      <c r="T26" s="1354"/>
      <c r="U26" s="1354"/>
      <c r="V26" s="1354"/>
      <c r="W26" s="1354"/>
      <c r="X26" s="1354"/>
      <c r="Y26" s="1354"/>
      <c r="Z26" s="1354"/>
      <c r="AA26" s="1354"/>
      <c r="AB26" s="1354"/>
      <c r="AC26" s="1354"/>
      <c r="AD26" s="1354"/>
      <c r="AE26" s="1354"/>
      <c r="AF26" s="1354"/>
      <c r="AG26" s="1354"/>
      <c r="AH26" s="1354"/>
      <c r="AI26" s="1354"/>
      <c r="AJ26" s="1354"/>
      <c r="AK26" s="1354"/>
      <c r="AL26" s="204"/>
    </row>
    <row r="27" spans="1:38">
      <c r="A27" s="204"/>
      <c r="B27" s="204"/>
      <c r="C27" s="205"/>
      <c r="D27" s="1354"/>
      <c r="E27" s="1354"/>
      <c r="F27" s="1354"/>
      <c r="G27" s="1354"/>
      <c r="H27" s="1354"/>
      <c r="I27" s="1354"/>
      <c r="J27" s="1354"/>
      <c r="K27" s="1354"/>
      <c r="L27" s="1354"/>
      <c r="M27" s="1354"/>
      <c r="N27" s="1354"/>
      <c r="O27" s="1354"/>
      <c r="P27" s="1354"/>
      <c r="Q27" s="1354"/>
      <c r="R27" s="1354"/>
      <c r="S27" s="1354"/>
      <c r="T27" s="1354"/>
      <c r="U27" s="1354"/>
      <c r="V27" s="1354"/>
      <c r="W27" s="1354"/>
      <c r="X27" s="1354"/>
      <c r="Y27" s="1354"/>
      <c r="Z27" s="1354"/>
      <c r="AA27" s="1354"/>
      <c r="AB27" s="1354"/>
      <c r="AC27" s="1354"/>
      <c r="AD27" s="1354"/>
      <c r="AE27" s="1354"/>
      <c r="AF27" s="1354"/>
      <c r="AG27" s="1354"/>
      <c r="AH27" s="1354"/>
      <c r="AI27" s="1354"/>
      <c r="AJ27" s="1354"/>
      <c r="AK27" s="1354"/>
      <c r="AL27" s="204"/>
    </row>
    <row r="28" spans="1:38">
      <c r="A28" s="204"/>
      <c r="B28" s="204"/>
      <c r="C28" s="205"/>
      <c r="D28" s="1354"/>
      <c r="E28" s="1354"/>
      <c r="F28" s="1354"/>
      <c r="G28" s="1354"/>
      <c r="H28" s="1354"/>
      <c r="I28" s="1354"/>
      <c r="J28" s="1354"/>
      <c r="K28" s="1354"/>
      <c r="L28" s="1354"/>
      <c r="M28" s="1354"/>
      <c r="N28" s="1354"/>
      <c r="O28" s="1354"/>
      <c r="P28" s="1354"/>
      <c r="Q28" s="1354"/>
      <c r="R28" s="1354"/>
      <c r="S28" s="1354"/>
      <c r="T28" s="1354"/>
      <c r="U28" s="1354"/>
      <c r="V28" s="1354"/>
      <c r="W28" s="1354"/>
      <c r="X28" s="1354"/>
      <c r="Y28" s="1354"/>
      <c r="Z28" s="1354"/>
      <c r="AA28" s="1354"/>
      <c r="AB28" s="1354"/>
      <c r="AC28" s="1354"/>
      <c r="AD28" s="1354"/>
      <c r="AE28" s="1354"/>
      <c r="AF28" s="1354"/>
      <c r="AG28" s="1354"/>
      <c r="AH28" s="1354"/>
      <c r="AI28" s="1354"/>
      <c r="AJ28" s="1354"/>
      <c r="AK28" s="1354"/>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 customHeight="1">
      <c r="A30" s="204"/>
      <c r="B30" s="204"/>
      <c r="C30" s="205"/>
      <c r="D30" s="1354" t="s">
        <v>1989</v>
      </c>
      <c r="E30" s="1354"/>
      <c r="F30" s="1354"/>
      <c r="G30" s="1354"/>
      <c r="H30" s="1354"/>
      <c r="I30" s="1354"/>
      <c r="J30" s="1354"/>
      <c r="K30" s="1354"/>
      <c r="L30" s="1354"/>
      <c r="M30" s="1354"/>
      <c r="N30" s="1354"/>
      <c r="O30" s="1354"/>
      <c r="P30" s="1354"/>
      <c r="Q30" s="1354"/>
      <c r="R30" s="1354"/>
      <c r="S30" s="1354"/>
      <c r="T30" s="1354"/>
      <c r="U30" s="1354"/>
      <c r="V30" s="1354"/>
      <c r="W30" s="1354"/>
      <c r="X30" s="1354"/>
      <c r="Y30" s="1354"/>
      <c r="Z30" s="1354"/>
      <c r="AA30" s="1354"/>
      <c r="AB30" s="1354"/>
      <c r="AC30" s="1354"/>
      <c r="AD30" s="1354"/>
      <c r="AE30" s="1354"/>
      <c r="AF30" s="1354"/>
      <c r="AG30" s="1354"/>
      <c r="AH30" s="1354"/>
      <c r="AI30" s="1354"/>
      <c r="AJ30" s="1354"/>
      <c r="AK30" s="1354"/>
      <c r="AL30" s="204"/>
    </row>
    <row r="31" spans="1:38">
      <c r="A31" s="204"/>
      <c r="B31" s="204"/>
      <c r="C31" s="205"/>
      <c r="D31" s="451"/>
      <c r="E31" s="1362" t="s">
        <v>2595</v>
      </c>
      <c r="F31" s="1363"/>
      <c r="G31" s="1363"/>
      <c r="H31" s="1363"/>
      <c r="I31" s="1363"/>
      <c r="J31" s="1363"/>
      <c r="K31" s="1363"/>
      <c r="L31" s="1363"/>
      <c r="M31" s="1363"/>
      <c r="N31" s="1363"/>
      <c r="O31" s="1363"/>
      <c r="P31" s="1363"/>
      <c r="Q31" s="1363"/>
      <c r="R31" s="1363"/>
      <c r="S31" s="1363"/>
      <c r="T31" s="1363"/>
      <c r="U31" s="1363"/>
      <c r="V31" s="1363"/>
      <c r="W31" s="1363"/>
      <c r="X31" s="1363"/>
      <c r="Y31" s="1363"/>
      <c r="Z31" s="1363"/>
      <c r="AA31" s="1363"/>
      <c r="AB31" s="1363"/>
      <c r="AC31" s="1363"/>
      <c r="AD31" s="1363"/>
      <c r="AE31" s="1363"/>
      <c r="AF31" s="1363"/>
      <c r="AG31" s="1363"/>
      <c r="AH31" s="1363"/>
      <c r="AI31" s="1363"/>
      <c r="AJ31" s="1363"/>
      <c r="AK31" s="1363"/>
      <c r="AL31" s="204"/>
    </row>
    <row r="32" spans="1:38">
      <c r="A32" s="4"/>
      <c r="C32" s="2"/>
    </row>
    <row r="33" spans="1:38">
      <c r="A33" s="4"/>
      <c r="D33" s="1355" t="s">
        <v>2089</v>
      </c>
      <c r="E33" s="1355"/>
      <c r="F33" s="1355"/>
      <c r="G33" s="1355"/>
      <c r="H33" s="1355"/>
      <c r="I33" s="1355"/>
      <c r="J33" s="1355"/>
      <c r="K33" s="1355"/>
      <c r="L33" s="1355"/>
      <c r="M33" s="1355"/>
      <c r="N33" s="1355"/>
      <c r="O33" s="1355"/>
      <c r="P33" s="1355"/>
      <c r="Q33" s="1355"/>
      <c r="R33" s="1355"/>
      <c r="S33" s="1355"/>
      <c r="T33" s="1355"/>
      <c r="U33" s="1355"/>
      <c r="V33" s="1355"/>
      <c r="W33" s="1355"/>
      <c r="X33" s="1355"/>
      <c r="Y33" s="1355"/>
      <c r="Z33" s="1355"/>
      <c r="AA33" s="1355"/>
      <c r="AB33" s="1355"/>
      <c r="AC33" s="1355"/>
      <c r="AD33" s="1355"/>
      <c r="AE33" s="1355"/>
      <c r="AF33" s="1355"/>
      <c r="AG33" s="1355"/>
      <c r="AH33" s="1355"/>
      <c r="AI33" s="1355"/>
      <c r="AJ33" s="1355"/>
      <c r="AK33" s="1355"/>
    </row>
    <row r="34" spans="1:38">
      <c r="A34" s="4"/>
      <c r="D34" s="1355"/>
      <c r="E34" s="1355"/>
      <c r="F34" s="1355"/>
      <c r="G34" s="1355"/>
      <c r="H34" s="1355"/>
      <c r="I34" s="1355"/>
      <c r="J34" s="1355"/>
      <c r="K34" s="1355"/>
      <c r="L34" s="1355"/>
      <c r="M34" s="1355"/>
      <c r="N34" s="1355"/>
      <c r="O34" s="1355"/>
      <c r="P34" s="1355"/>
      <c r="Q34" s="1355"/>
      <c r="R34" s="1355"/>
      <c r="S34" s="1355"/>
      <c r="T34" s="1355"/>
      <c r="U34" s="1355"/>
      <c r="V34" s="1355"/>
      <c r="W34" s="1355"/>
      <c r="X34" s="1355"/>
      <c r="Y34" s="1355"/>
      <c r="Z34" s="1355"/>
      <c r="AA34" s="1355"/>
      <c r="AB34" s="1355"/>
      <c r="AC34" s="1355"/>
      <c r="AD34" s="1355"/>
      <c r="AE34" s="1355"/>
      <c r="AF34" s="1355"/>
      <c r="AG34" s="1355"/>
      <c r="AH34" s="1355"/>
      <c r="AI34" s="1355"/>
      <c r="AJ34" s="1355"/>
      <c r="AK34" s="1355"/>
    </row>
    <row r="35" spans="1:38">
      <c r="A35" s="4"/>
      <c r="D35" s="120"/>
      <c r="E35" s="1361" t="s">
        <v>2596</v>
      </c>
      <c r="F35" s="1361"/>
      <c r="G35" s="1361"/>
      <c r="H35" s="1361"/>
      <c r="I35" s="1361"/>
      <c r="J35" s="1361"/>
      <c r="K35" s="1361"/>
      <c r="L35" s="1361"/>
      <c r="M35" s="1361"/>
      <c r="N35" s="1361"/>
      <c r="O35" s="1361"/>
      <c r="P35" s="1361"/>
      <c r="Q35" s="1361"/>
      <c r="R35" s="1361"/>
      <c r="S35" s="1361"/>
      <c r="T35" s="1361"/>
      <c r="U35" s="1361"/>
      <c r="V35" s="1361"/>
      <c r="W35" s="1361"/>
      <c r="X35" s="1361"/>
      <c r="Y35" s="1361"/>
      <c r="Z35" s="1361"/>
      <c r="AA35" s="1361"/>
      <c r="AB35" s="1361"/>
      <c r="AC35" s="1361"/>
      <c r="AD35" s="1361"/>
      <c r="AE35" s="1361"/>
      <c r="AF35" s="1361"/>
      <c r="AG35" s="1361"/>
      <c r="AH35" s="1361"/>
      <c r="AI35" s="1361"/>
      <c r="AJ35" s="1361"/>
      <c r="AK35" s="1361"/>
    </row>
    <row r="36" spans="1:38">
      <c r="A36" s="4"/>
      <c r="D36" s="120"/>
      <c r="E36" s="1361" t="s">
        <v>2597</v>
      </c>
      <c r="F36" s="1361"/>
      <c r="G36" s="1361"/>
      <c r="H36" s="1361"/>
      <c r="I36" s="1361"/>
      <c r="J36" s="1361"/>
      <c r="K36" s="1361"/>
      <c r="L36" s="1361"/>
      <c r="M36" s="1361"/>
      <c r="N36" s="1361"/>
      <c r="O36" s="1361"/>
      <c r="P36" s="1361"/>
      <c r="Q36" s="1361"/>
      <c r="R36" s="1361"/>
      <c r="S36" s="1361"/>
      <c r="T36" s="1361"/>
      <c r="U36" s="1361"/>
      <c r="V36" s="1361"/>
      <c r="W36" s="1361"/>
      <c r="X36" s="1361"/>
      <c r="Y36" s="1361"/>
      <c r="Z36" s="1361"/>
      <c r="AA36" s="1361"/>
      <c r="AB36" s="1361"/>
      <c r="AC36" s="1361"/>
      <c r="AD36" s="1361"/>
      <c r="AE36" s="1361"/>
      <c r="AF36" s="1361"/>
      <c r="AG36" s="1361"/>
      <c r="AH36" s="1361"/>
      <c r="AI36" s="1361"/>
      <c r="AJ36" s="1361"/>
      <c r="AK36" s="136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735</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736</v>
      </c>
      <c r="F39" s="4"/>
      <c r="G39" s="4"/>
      <c r="H39" s="4"/>
      <c r="I39" s="4"/>
      <c r="J39" s="4"/>
      <c r="K39" s="4"/>
      <c r="L39" s="4"/>
      <c r="M39" s="4"/>
      <c r="N39" s="4"/>
      <c r="O39" s="4"/>
      <c r="P39" s="4"/>
      <c r="Q39" s="4"/>
      <c r="R39" s="4"/>
      <c r="S39" s="4"/>
      <c r="T39" s="4"/>
      <c r="U39" s="4"/>
      <c r="V39" s="4"/>
      <c r="W39" s="4"/>
      <c r="X39" s="4"/>
      <c r="Y39" s="4"/>
      <c r="Z39" s="4"/>
      <c r="AA39" s="4"/>
      <c r="AB39" s="4"/>
    </row>
    <row r="40" spans="1:38" s="1354" customFormat="1" ht="13.2" customHeight="1">
      <c r="A40" s="4"/>
      <c r="B40"/>
      <c r="C40" s="2"/>
      <c r="D40" s="4"/>
      <c r="E40" s="4" t="s">
        <v>651</v>
      </c>
      <c r="F40" s="1354" t="s">
        <v>1161</v>
      </c>
    </row>
    <row r="41" spans="1:38" s="1354" customFormat="1" ht="13.2" customHeight="1">
      <c r="A41" s="4"/>
      <c r="B41"/>
      <c r="C41" s="2"/>
      <c r="D41" s="4"/>
      <c r="E41" s="4"/>
    </row>
    <row r="42" spans="1:38">
      <c r="A42" s="4"/>
      <c r="C42" s="2"/>
      <c r="D42" s="4"/>
      <c r="E42" s="4"/>
      <c r="F42" s="35" t="s">
        <v>685</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 customHeight="1">
      <c r="A43" s="4"/>
      <c r="B43"/>
      <c r="C43" s="2"/>
      <c r="D43" s="4"/>
      <c r="E43" s="3" t="s">
        <v>348</v>
      </c>
      <c r="F43" s="1359" t="s">
        <v>1243</v>
      </c>
      <c r="G43" s="1359"/>
      <c r="H43" s="1359"/>
      <c r="I43" s="1359"/>
      <c r="J43" s="1359"/>
      <c r="K43" s="1359"/>
      <c r="L43" s="1359"/>
      <c r="M43" s="1359"/>
      <c r="N43" s="1359"/>
      <c r="O43" s="1359"/>
      <c r="P43" s="1359"/>
      <c r="Q43" s="1359"/>
      <c r="R43" s="1359"/>
      <c r="S43" s="1359"/>
      <c r="T43" s="1359"/>
      <c r="U43" s="1359"/>
      <c r="V43" s="1359"/>
      <c r="W43" s="1359"/>
      <c r="X43" s="1359"/>
      <c r="Y43" s="1359"/>
      <c r="Z43" s="1359"/>
      <c r="AA43" s="1359"/>
      <c r="AB43" s="1359"/>
      <c r="AC43" s="1359"/>
      <c r="AD43" s="1359"/>
      <c r="AE43" s="1359"/>
      <c r="AF43" s="1359"/>
      <c r="AG43" s="1359"/>
      <c r="AH43" s="1359"/>
      <c r="AI43" s="1359"/>
      <c r="AJ43" s="1359"/>
      <c r="AK43" s="1359"/>
      <c r="AL43" s="1359"/>
    </row>
    <row r="44" spans="1:38" s="118" customFormat="1">
      <c r="A44" s="4"/>
      <c r="B44"/>
      <c r="C44" s="2"/>
      <c r="D44" s="4"/>
      <c r="E44" s="4"/>
      <c r="F44" s="1359"/>
      <c r="G44" s="1359"/>
      <c r="H44" s="1359"/>
      <c r="I44" s="1359"/>
      <c r="J44" s="1359"/>
      <c r="K44" s="1359"/>
      <c r="L44" s="1359"/>
      <c r="M44" s="1359"/>
      <c r="N44" s="1359"/>
      <c r="O44" s="1359"/>
      <c r="P44" s="1359"/>
      <c r="Q44" s="1359"/>
      <c r="R44" s="1359"/>
      <c r="S44" s="1359"/>
      <c r="T44" s="1359"/>
      <c r="U44" s="1359"/>
      <c r="V44" s="1359"/>
      <c r="W44" s="1359"/>
      <c r="X44" s="1359"/>
      <c r="Y44" s="1359"/>
      <c r="Z44" s="1359"/>
      <c r="AA44" s="1359"/>
      <c r="AB44" s="1359"/>
      <c r="AC44" s="1359"/>
      <c r="AD44" s="1359"/>
      <c r="AE44" s="1359"/>
      <c r="AF44" s="1359"/>
      <c r="AG44" s="1359"/>
      <c r="AH44" s="1359"/>
      <c r="AI44" s="1359"/>
      <c r="AJ44" s="1359"/>
      <c r="AK44" s="1359"/>
      <c r="AL44" s="1359"/>
    </row>
    <row r="45" spans="1:38" s="118" customFormat="1" ht="13.2" customHeight="1">
      <c r="A45" s="4"/>
      <c r="B45"/>
      <c r="C45" s="2"/>
      <c r="D45" s="4"/>
      <c r="E45" s="4"/>
      <c r="F45" s="1359"/>
      <c r="G45" s="1359"/>
      <c r="H45" s="1359"/>
      <c r="I45" s="1359"/>
      <c r="J45" s="1359"/>
      <c r="K45" s="1359"/>
      <c r="L45" s="1359"/>
      <c r="M45" s="1359"/>
      <c r="N45" s="1359"/>
      <c r="O45" s="1359"/>
      <c r="P45" s="1359"/>
      <c r="Q45" s="1359"/>
      <c r="R45" s="1359"/>
      <c r="S45" s="1359"/>
      <c r="T45" s="1359"/>
      <c r="U45" s="1359"/>
      <c r="V45" s="1359"/>
      <c r="W45" s="1359"/>
      <c r="X45" s="1359"/>
      <c r="Y45" s="1359"/>
      <c r="Z45" s="1359"/>
      <c r="AA45" s="1359"/>
      <c r="AB45" s="1359"/>
      <c r="AC45" s="1359"/>
      <c r="AD45" s="1359"/>
      <c r="AE45" s="1359"/>
      <c r="AF45" s="1359"/>
      <c r="AG45" s="1359"/>
      <c r="AH45" s="1359"/>
      <c r="AI45" s="1359"/>
      <c r="AJ45" s="1359"/>
      <c r="AK45" s="1359"/>
      <c r="AL45" s="1359"/>
    </row>
    <row r="46" spans="1:38">
      <c r="A46" s="4"/>
      <c r="C46" s="2"/>
      <c r="D46" s="4"/>
      <c r="E46" s="4"/>
      <c r="F46" s="118" t="s">
        <v>685</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507</v>
      </c>
      <c r="G47" s="4" t="s">
        <v>545</v>
      </c>
      <c r="I47" s="4"/>
      <c r="J47" s="4"/>
      <c r="K47" s="4"/>
      <c r="L47" s="4"/>
      <c r="O47" s="4"/>
      <c r="P47" s="4"/>
      <c r="Q47" s="4"/>
      <c r="R47" s="4"/>
      <c r="S47" s="4"/>
      <c r="T47" s="4"/>
      <c r="U47" s="4"/>
      <c r="V47" s="4"/>
      <c r="W47" s="4"/>
      <c r="X47" s="4"/>
      <c r="Y47" s="4"/>
      <c r="Z47" s="4"/>
      <c r="AA47" s="4"/>
      <c r="AB47" s="4"/>
    </row>
    <row r="48" spans="1:38">
      <c r="A48" s="4"/>
      <c r="C48" s="2"/>
      <c r="D48" s="4"/>
      <c r="E48" s="3" t="s">
        <v>349</v>
      </c>
      <c r="F48" s="1354" t="s">
        <v>1991</v>
      </c>
      <c r="G48" s="1354"/>
      <c r="H48" s="1354"/>
      <c r="I48" s="1354"/>
      <c r="J48" s="1354"/>
      <c r="K48" s="1354"/>
      <c r="L48" s="1354"/>
      <c r="M48" s="1354"/>
      <c r="N48" s="1354"/>
      <c r="O48" s="1354"/>
      <c r="P48" s="1354"/>
      <c r="Q48" s="1354"/>
      <c r="R48" s="1354"/>
      <c r="S48" s="1354"/>
      <c r="T48" s="1354"/>
      <c r="U48" s="1354"/>
      <c r="V48" s="1354"/>
      <c r="W48" s="1354"/>
      <c r="X48" s="1354"/>
      <c r="Y48" s="1354"/>
      <c r="Z48" s="1354"/>
      <c r="AA48" s="1354"/>
      <c r="AB48" s="1354"/>
      <c r="AC48" s="1354"/>
      <c r="AD48" s="1354"/>
      <c r="AE48" s="1354"/>
      <c r="AF48" s="1354"/>
      <c r="AG48" s="1354"/>
      <c r="AH48" s="1354"/>
      <c r="AI48" s="1354"/>
      <c r="AJ48" s="1354"/>
      <c r="AK48" s="1354"/>
    </row>
    <row r="49" spans="1:38">
      <c r="A49" s="4"/>
      <c r="C49" s="2"/>
      <c r="D49" s="4"/>
      <c r="E49" s="4"/>
      <c r="F49" s="1354"/>
      <c r="G49" s="1354"/>
      <c r="H49" s="1354"/>
      <c r="I49" s="1354"/>
      <c r="J49" s="1354"/>
      <c r="K49" s="1354"/>
      <c r="L49" s="1354"/>
      <c r="M49" s="1354"/>
      <c r="N49" s="1354"/>
      <c r="O49" s="1354"/>
      <c r="P49" s="1354"/>
      <c r="Q49" s="1354"/>
      <c r="R49" s="1354"/>
      <c r="S49" s="1354"/>
      <c r="T49" s="1354"/>
      <c r="U49" s="1354"/>
      <c r="V49" s="1354"/>
      <c r="W49" s="1354"/>
      <c r="X49" s="1354"/>
      <c r="Y49" s="1354"/>
      <c r="Z49" s="1354"/>
      <c r="AA49" s="1354"/>
      <c r="AB49" s="1354"/>
      <c r="AC49" s="1354"/>
      <c r="AD49" s="1354"/>
      <c r="AE49" s="1354"/>
      <c r="AF49" s="1354"/>
      <c r="AG49" s="1354"/>
      <c r="AH49" s="1354"/>
      <c r="AI49" s="1354"/>
      <c r="AJ49" s="1354"/>
      <c r="AK49" s="1354"/>
    </row>
    <row r="50" spans="1:38">
      <c r="A50" s="4"/>
      <c r="C50" s="2"/>
      <c r="D50" s="4"/>
      <c r="F50" s="1354"/>
      <c r="G50" s="1354"/>
      <c r="H50" s="1354"/>
      <c r="I50" s="1354"/>
      <c r="J50" s="1354"/>
      <c r="K50" s="1354"/>
      <c r="L50" s="1354"/>
      <c r="M50" s="1354"/>
      <c r="N50" s="1354"/>
      <c r="O50" s="1354"/>
      <c r="P50" s="1354"/>
      <c r="Q50" s="1354"/>
      <c r="R50" s="1354"/>
      <c r="S50" s="1354"/>
      <c r="T50" s="1354"/>
      <c r="U50" s="1354"/>
      <c r="V50" s="1354"/>
      <c r="W50" s="1354"/>
      <c r="X50" s="1354"/>
      <c r="Y50" s="1354"/>
      <c r="Z50" s="1354"/>
      <c r="AA50" s="1354"/>
      <c r="AB50" s="1354"/>
      <c r="AC50" s="1354"/>
      <c r="AD50" s="1354"/>
      <c r="AE50" s="1354"/>
      <c r="AF50" s="1354"/>
      <c r="AG50" s="1354"/>
      <c r="AH50" s="1354"/>
      <c r="AI50" s="1354"/>
      <c r="AJ50" s="1354"/>
      <c r="AK50" s="1354"/>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649</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651</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 customHeight="1">
      <c r="A54" s="204"/>
      <c r="B54" s="204"/>
      <c r="C54" s="205"/>
      <c r="D54" s="205"/>
      <c r="E54" s="204"/>
      <c r="F54" s="206" t="s">
        <v>685</v>
      </c>
      <c r="G54" s="1357" t="s">
        <v>1188</v>
      </c>
      <c r="H54" s="1357"/>
      <c r="I54" s="1357"/>
      <c r="J54" s="1357"/>
      <c r="K54" s="1357"/>
      <c r="L54" s="1357"/>
      <c r="M54" s="1357"/>
      <c r="N54" s="1357"/>
      <c r="O54" s="1357"/>
      <c r="P54" s="1357"/>
      <c r="Q54" s="1357"/>
      <c r="R54" s="1357"/>
      <c r="S54" s="1357"/>
      <c r="T54" s="1357"/>
      <c r="U54" s="1357"/>
      <c r="V54" s="1357"/>
      <c r="W54" s="1357"/>
      <c r="X54" s="1357"/>
      <c r="Y54" s="1357"/>
      <c r="Z54" s="1357"/>
      <c r="AA54" s="1357"/>
      <c r="AB54" s="1357"/>
      <c r="AC54" s="1357"/>
      <c r="AD54" s="1357"/>
      <c r="AE54" s="1357"/>
      <c r="AF54" s="1357"/>
      <c r="AG54" s="1357"/>
      <c r="AH54" s="1357"/>
      <c r="AI54" s="1357"/>
      <c r="AJ54" s="1357"/>
      <c r="AK54" s="1357"/>
      <c r="AL54" s="204"/>
    </row>
    <row r="55" spans="1:38" ht="13.2"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57" t="s">
        <v>573</v>
      </c>
      <c r="H56" s="1357"/>
      <c r="I56" s="1357"/>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 customHeight="1">
      <c r="A57" s="204"/>
      <c r="B57" s="205"/>
      <c r="C57" s="205"/>
      <c r="D57" s="205"/>
      <c r="E57" s="204"/>
      <c r="F57" s="206" t="s">
        <v>507</v>
      </c>
      <c r="G57" s="1357" t="s">
        <v>1992</v>
      </c>
      <c r="H57" s="1357"/>
      <c r="I57" s="1357"/>
      <c r="J57" s="1357"/>
      <c r="K57" s="1357"/>
      <c r="L57" s="1357"/>
      <c r="M57" s="1357"/>
      <c r="N57" s="1357"/>
      <c r="O57" s="1357"/>
      <c r="P57" s="1357"/>
      <c r="Q57" s="1357"/>
      <c r="R57" s="1357"/>
      <c r="S57" s="1357"/>
      <c r="T57" s="1357"/>
      <c r="U57" s="1357"/>
      <c r="V57" s="1357"/>
      <c r="W57" s="1357"/>
      <c r="X57" s="1357"/>
      <c r="Y57" s="1357"/>
      <c r="Z57" s="1357"/>
      <c r="AA57" s="1357"/>
      <c r="AB57" s="1357"/>
      <c r="AC57" s="1357"/>
      <c r="AD57" s="1357"/>
      <c r="AE57" s="1357"/>
      <c r="AF57" s="1357"/>
      <c r="AG57" s="1357"/>
      <c r="AH57" s="1357"/>
      <c r="AI57" s="1357"/>
      <c r="AJ57" s="1357"/>
      <c r="AK57" s="1357"/>
      <c r="AL57" s="1357"/>
    </row>
    <row r="58" spans="1:38">
      <c r="A58" s="204"/>
      <c r="B58" s="204"/>
      <c r="C58" s="205"/>
      <c r="D58" s="205"/>
      <c r="E58" s="204"/>
      <c r="F58" s="206"/>
      <c r="G58" s="1357"/>
      <c r="H58" s="1357"/>
      <c r="I58" s="1357"/>
      <c r="J58" s="1357"/>
      <c r="K58" s="1357"/>
      <c r="L58" s="1357"/>
      <c r="M58" s="1357"/>
      <c r="N58" s="1357"/>
      <c r="O58" s="1357"/>
      <c r="P58" s="1357"/>
      <c r="Q58" s="1357"/>
      <c r="R58" s="1357"/>
      <c r="S58" s="1357"/>
      <c r="T58" s="1357"/>
      <c r="U58" s="1357"/>
      <c r="V58" s="1357"/>
      <c r="W58" s="1357"/>
      <c r="X58" s="1357"/>
      <c r="Y58" s="1357"/>
      <c r="Z58" s="1357"/>
      <c r="AA58" s="1357"/>
      <c r="AB58" s="1357"/>
      <c r="AC58" s="1357"/>
      <c r="AD58" s="1357"/>
      <c r="AE58" s="1357"/>
      <c r="AF58" s="1357"/>
      <c r="AG58" s="1357"/>
      <c r="AH58" s="1357"/>
      <c r="AI58" s="1357"/>
      <c r="AJ58" s="1357"/>
      <c r="AK58" s="1357"/>
      <c r="AL58" s="1357"/>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651</v>
      </c>
      <c r="F63" s="4" t="s">
        <v>506</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685</v>
      </c>
      <c r="G64" s="1354" t="s">
        <v>1163</v>
      </c>
      <c r="H64" s="1354"/>
      <c r="I64" s="1354"/>
      <c r="J64" s="1354"/>
      <c r="K64" s="1354"/>
      <c r="L64" s="1354"/>
      <c r="M64" s="1354"/>
      <c r="N64" s="1354"/>
      <c r="O64" s="1354"/>
      <c r="P64" s="1354"/>
      <c r="Q64" s="1354"/>
      <c r="R64" s="1354"/>
      <c r="S64" s="1354"/>
      <c r="T64" s="1354"/>
      <c r="U64" s="1354"/>
      <c r="V64" s="1354"/>
      <c r="W64" s="1354"/>
      <c r="X64" s="1354"/>
      <c r="Y64" s="1354"/>
      <c r="Z64" s="1354"/>
      <c r="AA64" s="1354"/>
      <c r="AB64" s="1354"/>
      <c r="AC64" s="1354"/>
      <c r="AD64" s="1354"/>
      <c r="AE64" s="1354"/>
      <c r="AF64" s="1354"/>
      <c r="AG64" s="1354"/>
      <c r="AH64" s="1354"/>
      <c r="AI64" s="1354"/>
      <c r="AJ64" s="1354"/>
      <c r="AK64" s="1354"/>
    </row>
    <row r="65" spans="1:37">
      <c r="A65" s="4"/>
      <c r="C65" s="2"/>
      <c r="D65" s="4"/>
      <c r="E65" s="4"/>
      <c r="G65" s="1354"/>
      <c r="H65" s="1354"/>
      <c r="I65" s="1354"/>
      <c r="J65" s="1354"/>
      <c r="K65" s="1354"/>
      <c r="L65" s="1354"/>
      <c r="M65" s="1354"/>
      <c r="N65" s="1354"/>
      <c r="O65" s="1354"/>
      <c r="P65" s="1354"/>
      <c r="Q65" s="1354"/>
      <c r="R65" s="1354"/>
      <c r="S65" s="1354"/>
      <c r="T65" s="1354"/>
      <c r="U65" s="1354"/>
      <c r="V65" s="1354"/>
      <c r="W65" s="1354"/>
      <c r="X65" s="1354"/>
      <c r="Y65" s="1354"/>
      <c r="Z65" s="1354"/>
      <c r="AA65" s="1354"/>
      <c r="AB65" s="1354"/>
      <c r="AC65" s="1354"/>
      <c r="AD65" s="1354"/>
      <c r="AE65" s="1354"/>
      <c r="AF65" s="1354"/>
      <c r="AG65" s="1354"/>
      <c r="AH65" s="1354"/>
      <c r="AI65" s="1354"/>
      <c r="AJ65" s="1354"/>
      <c r="AK65" s="1354"/>
    </row>
    <row r="66" spans="1:37">
      <c r="A66" s="4"/>
      <c r="C66" s="2"/>
      <c r="D66" s="4"/>
      <c r="E66" s="4"/>
      <c r="G66" s="1354"/>
      <c r="H66" s="1354"/>
      <c r="I66" s="1354"/>
      <c r="J66" s="1354"/>
      <c r="K66" s="1354"/>
      <c r="L66" s="1354"/>
      <c r="M66" s="1354"/>
      <c r="N66" s="1354"/>
      <c r="O66" s="1354"/>
      <c r="P66" s="1354"/>
      <c r="Q66" s="1354"/>
      <c r="R66" s="1354"/>
      <c r="S66" s="1354"/>
      <c r="T66" s="1354"/>
      <c r="U66" s="1354"/>
      <c r="V66" s="1354"/>
      <c r="W66" s="1354"/>
      <c r="X66" s="1354"/>
      <c r="Y66" s="1354"/>
      <c r="Z66" s="1354"/>
      <c r="AA66" s="1354"/>
      <c r="AB66" s="1354"/>
      <c r="AC66" s="1354"/>
      <c r="AD66" s="1354"/>
      <c r="AE66" s="1354"/>
      <c r="AF66" s="1354"/>
      <c r="AG66" s="1354"/>
      <c r="AH66" s="1354"/>
      <c r="AI66" s="1354"/>
      <c r="AJ66" s="1354"/>
      <c r="AK66" s="1354"/>
    </row>
    <row r="67" spans="1:37" ht="13.2" customHeight="1">
      <c r="A67" s="4"/>
      <c r="C67" s="2"/>
      <c r="D67" s="4"/>
      <c r="E67" s="4"/>
      <c r="F67" t="s">
        <v>507</v>
      </c>
      <c r="G67" s="1354" t="s">
        <v>1164</v>
      </c>
      <c r="H67" s="1354"/>
      <c r="I67" s="1354"/>
      <c r="J67" s="1354"/>
      <c r="K67" s="1354"/>
      <c r="L67" s="1354"/>
      <c r="M67" s="1354"/>
      <c r="N67" s="1354"/>
      <c r="O67" s="1354"/>
      <c r="P67" s="1354"/>
      <c r="Q67" s="1354"/>
      <c r="R67" s="1354"/>
      <c r="S67" s="1354"/>
      <c r="T67" s="1354"/>
      <c r="U67" s="1354"/>
      <c r="V67" s="1354"/>
      <c r="W67" s="1354"/>
      <c r="X67" s="1354"/>
      <c r="Y67" s="1354"/>
      <c r="Z67" s="1354"/>
      <c r="AA67" s="1354"/>
      <c r="AB67" s="1354"/>
      <c r="AC67" s="1354"/>
      <c r="AD67" s="1354"/>
      <c r="AE67" s="1354"/>
      <c r="AF67" s="1354"/>
      <c r="AG67" s="1354"/>
      <c r="AH67" s="1354"/>
      <c r="AI67" s="1354"/>
      <c r="AJ67" s="1354"/>
      <c r="AK67" s="1354"/>
    </row>
    <row r="68" spans="1:37">
      <c r="A68" s="4"/>
      <c r="C68" s="2"/>
      <c r="D68" s="4"/>
      <c r="E68" s="4"/>
      <c r="F68" s="27"/>
      <c r="G68" s="1354"/>
      <c r="H68" s="1354"/>
      <c r="I68" s="1354"/>
      <c r="J68" s="1354"/>
      <c r="K68" s="1354"/>
      <c r="L68" s="1354"/>
      <c r="M68" s="1354"/>
      <c r="N68" s="1354"/>
      <c r="O68" s="1354"/>
      <c r="P68" s="1354"/>
      <c r="Q68" s="1354"/>
      <c r="R68" s="1354"/>
      <c r="S68" s="1354"/>
      <c r="T68" s="1354"/>
      <c r="U68" s="1354"/>
      <c r="V68" s="1354"/>
      <c r="W68" s="1354"/>
      <c r="X68" s="1354"/>
      <c r="Y68" s="1354"/>
      <c r="Z68" s="1354"/>
      <c r="AA68" s="1354"/>
      <c r="AB68" s="1354"/>
      <c r="AC68" s="1354"/>
      <c r="AD68" s="1354"/>
      <c r="AE68" s="1354"/>
      <c r="AF68" s="1354"/>
      <c r="AG68" s="1354"/>
      <c r="AH68" s="1354"/>
      <c r="AI68" s="1354"/>
      <c r="AJ68" s="1354"/>
      <c r="AK68" s="1354"/>
    </row>
    <row r="69" spans="1:37">
      <c r="A69" s="4"/>
      <c r="C69" s="2"/>
      <c r="D69" s="4"/>
      <c r="E69" s="4" t="s">
        <v>348</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685</v>
      </c>
      <c r="G70" s="1354" t="s">
        <v>1165</v>
      </c>
      <c r="H70" s="1354"/>
      <c r="I70" s="1354"/>
      <c r="J70" s="1354"/>
      <c r="K70" s="1354"/>
      <c r="L70" s="1354"/>
      <c r="M70" s="1354"/>
      <c r="N70" s="1354"/>
      <c r="O70" s="1354"/>
      <c r="P70" s="1354"/>
      <c r="Q70" s="1354"/>
      <c r="R70" s="1354"/>
      <c r="S70" s="1354"/>
      <c r="T70" s="1354"/>
      <c r="U70" s="1354"/>
      <c r="V70" s="1354"/>
      <c r="W70" s="1354"/>
      <c r="X70" s="1354"/>
      <c r="Y70" s="1354"/>
      <c r="Z70" s="1354"/>
      <c r="AA70" s="1354"/>
      <c r="AB70" s="1354"/>
      <c r="AC70" s="1354"/>
      <c r="AD70" s="1354"/>
      <c r="AE70" s="1354"/>
      <c r="AF70" s="1354"/>
      <c r="AG70" s="1354"/>
      <c r="AH70" s="1354"/>
      <c r="AI70" s="1354"/>
      <c r="AJ70" s="1354"/>
      <c r="AK70" s="1354"/>
    </row>
    <row r="71" spans="1:37">
      <c r="A71" s="4"/>
      <c r="C71" s="2"/>
      <c r="D71" s="4"/>
      <c r="E71" s="4"/>
      <c r="F71" s="8"/>
      <c r="G71" s="1354"/>
      <c r="H71" s="1354"/>
      <c r="I71" s="1354"/>
      <c r="J71" s="1354"/>
      <c r="K71" s="1354"/>
      <c r="L71" s="1354"/>
      <c r="M71" s="1354"/>
      <c r="N71" s="1354"/>
      <c r="O71" s="1354"/>
      <c r="P71" s="1354"/>
      <c r="Q71" s="1354"/>
      <c r="R71" s="1354"/>
      <c r="S71" s="1354"/>
      <c r="T71" s="1354"/>
      <c r="U71" s="1354"/>
      <c r="V71" s="1354"/>
      <c r="W71" s="1354"/>
      <c r="X71" s="1354"/>
      <c r="Y71" s="1354"/>
      <c r="Z71" s="1354"/>
      <c r="AA71" s="1354"/>
      <c r="AB71" s="1354"/>
      <c r="AC71" s="1354"/>
      <c r="AD71" s="1354"/>
      <c r="AE71" s="1354"/>
      <c r="AF71" s="1354"/>
      <c r="AG71" s="1354"/>
      <c r="AH71" s="1354"/>
      <c r="AI71" s="1354"/>
      <c r="AJ71" s="1354"/>
      <c r="AK71" s="1354"/>
    </row>
    <row r="72" spans="1:37">
      <c r="A72" s="4"/>
      <c r="C72" s="2"/>
      <c r="D72" s="4"/>
      <c r="E72" s="4"/>
      <c r="F72" s="8" t="s">
        <v>507</v>
      </c>
      <c r="G72" s="1354" t="s">
        <v>1166</v>
      </c>
      <c r="H72" s="1354"/>
      <c r="I72" s="1354"/>
      <c r="J72" s="1354"/>
      <c r="K72" s="1354"/>
      <c r="L72" s="1354"/>
      <c r="M72" s="1354"/>
      <c r="N72" s="1354"/>
      <c r="O72" s="1354"/>
      <c r="P72" s="1354"/>
      <c r="Q72" s="1354"/>
      <c r="R72" s="1354"/>
      <c r="S72" s="1354"/>
      <c r="T72" s="1354"/>
      <c r="U72" s="1354"/>
      <c r="V72" s="1354"/>
      <c r="W72" s="1354"/>
      <c r="X72" s="1354"/>
      <c r="Y72" s="1354"/>
      <c r="Z72" s="1354"/>
      <c r="AA72" s="1354"/>
      <c r="AB72" s="1354"/>
      <c r="AC72" s="1354"/>
      <c r="AD72" s="1354"/>
      <c r="AE72" s="1354"/>
      <c r="AF72" s="1354"/>
      <c r="AG72" s="1354"/>
      <c r="AH72" s="1354"/>
      <c r="AI72" s="1354"/>
      <c r="AJ72" s="1354"/>
      <c r="AK72" s="1354"/>
    </row>
    <row r="73" spans="1:37">
      <c r="A73" s="4"/>
      <c r="C73" s="2"/>
      <c r="D73" s="4"/>
      <c r="E73" s="4"/>
      <c r="F73" s="8"/>
      <c r="G73" s="1354"/>
      <c r="H73" s="1354"/>
      <c r="I73" s="1354"/>
      <c r="J73" s="1354"/>
      <c r="K73" s="1354"/>
      <c r="L73" s="1354"/>
      <c r="M73" s="1354"/>
      <c r="N73" s="1354"/>
      <c r="O73" s="1354"/>
      <c r="P73" s="1354"/>
      <c r="Q73" s="1354"/>
      <c r="R73" s="1354"/>
      <c r="S73" s="1354"/>
      <c r="T73" s="1354"/>
      <c r="U73" s="1354"/>
      <c r="V73" s="1354"/>
      <c r="W73" s="1354"/>
      <c r="X73" s="1354"/>
      <c r="Y73" s="1354"/>
      <c r="Z73" s="1354"/>
      <c r="AA73" s="1354"/>
      <c r="AB73" s="1354"/>
      <c r="AC73" s="1354"/>
      <c r="AD73" s="1354"/>
      <c r="AE73" s="1354"/>
      <c r="AF73" s="1354"/>
      <c r="AG73" s="1354"/>
      <c r="AH73" s="1354"/>
      <c r="AI73" s="1354"/>
      <c r="AJ73" s="1354"/>
      <c r="AK73" s="1354"/>
    </row>
    <row r="74" spans="1:37">
      <c r="A74" s="4"/>
      <c r="C74" s="2"/>
      <c r="D74" s="4"/>
      <c r="E74" s="4"/>
      <c r="F74" s="8"/>
      <c r="G74" s="120" t="s">
        <v>748</v>
      </c>
      <c r="H74" s="4"/>
      <c r="J74" s="120"/>
      <c r="K74" s="120"/>
      <c r="L74" s="120"/>
      <c r="P74" s="4"/>
      <c r="Q74" s="4"/>
      <c r="R74" s="4"/>
      <c r="S74" s="4"/>
      <c r="T74" s="4"/>
      <c r="U74" s="4"/>
      <c r="V74" s="4"/>
      <c r="W74" s="4"/>
      <c r="X74" s="4"/>
      <c r="Y74" s="4"/>
      <c r="Z74" s="4"/>
      <c r="AA74" s="4"/>
      <c r="AB74" s="4"/>
    </row>
    <row r="75" spans="1:37">
      <c r="A75" s="4"/>
      <c r="C75" s="2"/>
      <c r="D75" s="4"/>
      <c r="E75" s="4"/>
      <c r="F75" s="8"/>
      <c r="G75" s="120" t="s">
        <v>862</v>
      </c>
      <c r="J75" s="120"/>
      <c r="K75" s="120"/>
      <c r="L75" s="120"/>
      <c r="P75" s="4"/>
      <c r="Q75" s="4"/>
      <c r="R75" s="4"/>
      <c r="S75" s="4"/>
      <c r="T75" s="4"/>
      <c r="U75" s="4"/>
      <c r="V75" s="4"/>
      <c r="W75" s="4"/>
      <c r="X75" s="4"/>
      <c r="Y75" s="4"/>
      <c r="Z75" s="4"/>
      <c r="AA75" s="4"/>
      <c r="AB75" s="4"/>
    </row>
    <row r="76" spans="1:37">
      <c r="A76" s="4"/>
      <c r="C76" s="2"/>
      <c r="D76" s="4"/>
      <c r="E76" s="4"/>
      <c r="F76" s="8" t="s">
        <v>278</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505</v>
      </c>
      <c r="H77" s="4" t="s">
        <v>863</v>
      </c>
      <c r="K77" s="4"/>
      <c r="L77" s="4"/>
      <c r="M77" s="4"/>
      <c r="P77" s="4"/>
      <c r="Q77" s="4"/>
      <c r="R77" s="4"/>
      <c r="S77" s="4"/>
      <c r="T77" s="4"/>
      <c r="U77" s="4"/>
      <c r="V77" s="4"/>
      <c r="W77" s="4"/>
      <c r="X77" s="4"/>
      <c r="Y77" s="4"/>
      <c r="Z77" s="4"/>
      <c r="AA77" s="4"/>
      <c r="AB77" s="4"/>
    </row>
    <row r="78" spans="1:37">
      <c r="A78" s="4"/>
      <c r="C78" s="2"/>
      <c r="D78" s="4"/>
      <c r="E78" s="4"/>
      <c r="F78" s="4"/>
      <c r="G78" s="4" t="s">
        <v>755</v>
      </c>
      <c r="H78" s="4" t="s">
        <v>751</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354" t="s">
        <v>1167</v>
      </c>
      <c r="H80" s="1354"/>
      <c r="I80" s="1354"/>
      <c r="J80" s="1354"/>
      <c r="K80" s="1354"/>
      <c r="L80" s="1354"/>
      <c r="M80" s="1354"/>
      <c r="N80" s="1354"/>
      <c r="O80" s="1354"/>
      <c r="P80" s="1354"/>
      <c r="Q80" s="1354"/>
      <c r="R80" s="1354"/>
      <c r="S80" s="1354"/>
      <c r="T80" s="1354"/>
      <c r="U80" s="1354"/>
      <c r="V80" s="1354"/>
      <c r="W80" s="1354"/>
      <c r="X80" s="1354"/>
      <c r="Y80" s="1354"/>
      <c r="Z80" s="1354"/>
      <c r="AA80" s="1354"/>
      <c r="AB80" s="1354"/>
      <c r="AC80" s="1354"/>
      <c r="AD80" s="1354"/>
      <c r="AE80" s="1354"/>
      <c r="AF80" s="1354"/>
      <c r="AG80" s="1354"/>
      <c r="AH80" s="1354"/>
      <c r="AI80" s="1354"/>
      <c r="AJ80" s="1354"/>
      <c r="AK80" s="1354"/>
    </row>
    <row r="81" spans="1:37">
      <c r="A81" s="4"/>
      <c r="C81" s="2"/>
      <c r="D81" s="4"/>
      <c r="E81" s="4"/>
      <c r="F81" s="4"/>
      <c r="G81" s="1354"/>
      <c r="H81" s="1354"/>
      <c r="I81" s="1354"/>
      <c r="J81" s="1354"/>
      <c r="K81" s="1354"/>
      <c r="L81" s="1354"/>
      <c r="M81" s="1354"/>
      <c r="N81" s="1354"/>
      <c r="O81" s="1354"/>
      <c r="P81" s="1354"/>
      <c r="Q81" s="1354"/>
      <c r="R81" s="1354"/>
      <c r="S81" s="1354"/>
      <c r="T81" s="1354"/>
      <c r="U81" s="1354"/>
      <c r="V81" s="1354"/>
      <c r="W81" s="1354"/>
      <c r="X81" s="1354"/>
      <c r="Y81" s="1354"/>
      <c r="Z81" s="1354"/>
      <c r="AA81" s="1354"/>
      <c r="AB81" s="1354"/>
      <c r="AC81" s="1354"/>
      <c r="AD81" s="1354"/>
      <c r="AE81" s="1354"/>
      <c r="AF81" s="1354"/>
      <c r="AG81" s="1354"/>
      <c r="AH81" s="1354"/>
      <c r="AI81" s="1354"/>
      <c r="AJ81" s="1354"/>
      <c r="AK81" s="1354"/>
    </row>
    <row r="82" spans="1:37">
      <c r="A82" s="4"/>
      <c r="C82" s="2"/>
      <c r="D82" s="4"/>
      <c r="E82" s="4"/>
      <c r="F82" s="4"/>
      <c r="G82" s="1354"/>
      <c r="H82" s="1354"/>
      <c r="I82" s="1354"/>
      <c r="J82" s="1354"/>
      <c r="K82" s="1354"/>
      <c r="L82" s="1354"/>
      <c r="M82" s="1354"/>
      <c r="N82" s="1354"/>
      <c r="O82" s="1354"/>
      <c r="P82" s="1354"/>
      <c r="Q82" s="1354"/>
      <c r="R82" s="1354"/>
      <c r="S82" s="1354"/>
      <c r="T82" s="1354"/>
      <c r="U82" s="1354"/>
      <c r="V82" s="1354"/>
      <c r="W82" s="1354"/>
      <c r="X82" s="1354"/>
      <c r="Y82" s="1354"/>
      <c r="Z82" s="1354"/>
      <c r="AA82" s="1354"/>
      <c r="AB82" s="1354"/>
      <c r="AC82" s="1354"/>
      <c r="AD82" s="1354"/>
      <c r="AE82" s="1354"/>
      <c r="AF82" s="1354"/>
      <c r="AG82" s="1354"/>
      <c r="AH82" s="1354"/>
      <c r="AI82" s="1354"/>
      <c r="AJ82" s="1354"/>
      <c r="AK82" s="1354"/>
    </row>
    <row r="83" spans="1:37">
      <c r="A83" s="4"/>
      <c r="C83" s="2"/>
      <c r="D83" s="4"/>
      <c r="E83" s="4" t="s">
        <v>442</v>
      </c>
      <c r="F83" s="4" t="s">
        <v>614</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354" t="s">
        <v>1168</v>
      </c>
      <c r="H84" s="1354"/>
      <c r="I84" s="1354"/>
      <c r="J84" s="1354"/>
      <c r="K84" s="1354"/>
      <c r="L84" s="1354"/>
      <c r="M84" s="1354"/>
      <c r="N84" s="1354"/>
      <c r="O84" s="1354"/>
      <c r="P84" s="1354"/>
      <c r="Q84" s="1354"/>
      <c r="R84" s="1354"/>
      <c r="S84" s="1354"/>
      <c r="T84" s="1354"/>
      <c r="U84" s="1354"/>
      <c r="V84" s="1354"/>
      <c r="W84" s="1354"/>
      <c r="X84" s="1354"/>
      <c r="Y84" s="1354"/>
      <c r="Z84" s="1354"/>
      <c r="AA84" s="1354"/>
      <c r="AB84" s="1354"/>
      <c r="AC84" s="1354"/>
      <c r="AD84" s="1354"/>
      <c r="AE84" s="1354"/>
      <c r="AF84" s="1354"/>
      <c r="AG84" s="1354"/>
      <c r="AH84" s="1354"/>
      <c r="AI84" s="1354"/>
      <c r="AJ84" s="1354"/>
      <c r="AK84" s="1354"/>
    </row>
    <row r="85" spans="1:37">
      <c r="A85" s="4"/>
      <c r="C85" s="2"/>
      <c r="D85" s="4"/>
      <c r="E85" s="4"/>
      <c r="F85" s="4"/>
      <c r="G85" s="1354"/>
      <c r="H85" s="1354"/>
      <c r="I85" s="1354"/>
      <c r="J85" s="1354"/>
      <c r="K85" s="1354"/>
      <c r="L85" s="1354"/>
      <c r="M85" s="1354"/>
      <c r="N85" s="1354"/>
      <c r="O85" s="1354"/>
      <c r="P85" s="1354"/>
      <c r="Q85" s="1354"/>
      <c r="R85" s="1354"/>
      <c r="S85" s="1354"/>
      <c r="T85" s="1354"/>
      <c r="U85" s="1354"/>
      <c r="V85" s="1354"/>
      <c r="W85" s="1354"/>
      <c r="X85" s="1354"/>
      <c r="Y85" s="1354"/>
      <c r="Z85" s="1354"/>
      <c r="AA85" s="1354"/>
      <c r="AB85" s="1354"/>
      <c r="AC85" s="1354"/>
      <c r="AD85" s="1354"/>
      <c r="AE85" s="1354"/>
      <c r="AF85" s="1354"/>
      <c r="AG85" s="1354"/>
      <c r="AH85" s="1354"/>
      <c r="AI85" s="1354"/>
      <c r="AJ85" s="1354"/>
      <c r="AK85" s="1354"/>
    </row>
    <row r="86" spans="1:37">
      <c r="A86" s="4"/>
      <c r="C86" s="2"/>
      <c r="D86" s="4"/>
      <c r="E86" s="4"/>
      <c r="G86" s="1354"/>
      <c r="H86" s="1354"/>
      <c r="I86" s="1354"/>
      <c r="J86" s="1354"/>
      <c r="K86" s="1354"/>
      <c r="L86" s="1354"/>
      <c r="M86" s="1354"/>
      <c r="N86" s="1354"/>
      <c r="O86" s="1354"/>
      <c r="P86" s="1354"/>
      <c r="Q86" s="1354"/>
      <c r="R86" s="1354"/>
      <c r="S86" s="1354"/>
      <c r="T86" s="1354"/>
      <c r="U86" s="1354"/>
      <c r="V86" s="1354"/>
      <c r="W86" s="1354"/>
      <c r="X86" s="1354"/>
      <c r="Y86" s="1354"/>
      <c r="Z86" s="1354"/>
      <c r="AA86" s="1354"/>
      <c r="AB86" s="1354"/>
      <c r="AC86" s="1354"/>
      <c r="AD86" s="1354"/>
      <c r="AE86" s="1354"/>
      <c r="AF86" s="1354"/>
      <c r="AG86" s="1354"/>
      <c r="AH86" s="1354"/>
      <c r="AI86" s="1354"/>
      <c r="AJ86" s="1354"/>
      <c r="AK86" s="1354"/>
    </row>
    <row r="87" spans="1:37">
      <c r="A87" s="4"/>
      <c r="C87" s="2"/>
      <c r="D87" s="4"/>
      <c r="E87" s="4" t="s">
        <v>262</v>
      </c>
      <c r="F87" t="s">
        <v>864</v>
      </c>
      <c r="G87" s="4"/>
      <c r="L87" s="4"/>
      <c r="M87" s="4"/>
      <c r="P87" s="4"/>
      <c r="Q87" s="4"/>
      <c r="R87" s="4"/>
      <c r="S87" s="4"/>
      <c r="T87" s="4"/>
      <c r="U87" s="4"/>
      <c r="V87" s="4"/>
      <c r="W87" s="4"/>
      <c r="X87" s="4"/>
      <c r="Y87" s="4"/>
      <c r="Z87" s="4"/>
      <c r="AA87" s="4"/>
      <c r="AB87" s="4"/>
    </row>
    <row r="88" spans="1:37">
      <c r="A88" s="4"/>
      <c r="C88" s="2"/>
      <c r="D88" s="4"/>
      <c r="E88" s="4"/>
      <c r="G88" s="1364" t="s">
        <v>1169</v>
      </c>
      <c r="H88" s="1364"/>
      <c r="I88" s="1364"/>
      <c r="J88" s="1364"/>
      <c r="K88" s="1364"/>
      <c r="L88" s="1364"/>
      <c r="M88" s="1364"/>
      <c r="N88" s="1364"/>
      <c r="O88" s="1364"/>
      <c r="P88" s="1364"/>
      <c r="Q88" s="1364"/>
      <c r="R88" s="1364"/>
      <c r="S88" s="1364"/>
      <c r="T88" s="1364"/>
      <c r="U88" s="1364"/>
      <c r="V88" s="1364"/>
      <c r="W88" s="1364"/>
      <c r="X88" s="1364"/>
      <c r="Y88" s="1364"/>
      <c r="Z88" s="1364"/>
      <c r="AA88" s="1364"/>
      <c r="AB88" s="1364"/>
      <c r="AC88" s="1364"/>
      <c r="AD88" s="1364"/>
      <c r="AE88" s="1364"/>
      <c r="AF88" s="1364"/>
      <c r="AG88" s="1364"/>
      <c r="AH88" s="1364"/>
      <c r="AI88" s="1364"/>
      <c r="AJ88" s="1364"/>
      <c r="AK88" s="1364"/>
    </row>
    <row r="89" spans="1:37">
      <c r="A89" s="4"/>
      <c r="C89" s="2"/>
      <c r="D89" s="4"/>
      <c r="E89" s="4"/>
      <c r="G89" s="1364"/>
      <c r="H89" s="1364"/>
      <c r="I89" s="1364"/>
      <c r="J89" s="1364"/>
      <c r="K89" s="1364"/>
      <c r="L89" s="1364"/>
      <c r="M89" s="1364"/>
      <c r="N89" s="1364"/>
      <c r="O89" s="1364"/>
      <c r="P89" s="1364"/>
      <c r="Q89" s="1364"/>
      <c r="R89" s="1364"/>
      <c r="S89" s="1364"/>
      <c r="T89" s="1364"/>
      <c r="U89" s="1364"/>
      <c r="V89" s="1364"/>
      <c r="W89" s="1364"/>
      <c r="X89" s="1364"/>
      <c r="Y89" s="1364"/>
      <c r="Z89" s="1364"/>
      <c r="AA89" s="1364"/>
      <c r="AB89" s="1364"/>
      <c r="AC89" s="1364"/>
      <c r="AD89" s="1364"/>
      <c r="AE89" s="1364"/>
      <c r="AF89" s="1364"/>
      <c r="AG89" s="1364"/>
      <c r="AH89" s="1364"/>
      <c r="AI89" s="1364"/>
      <c r="AJ89" s="1364"/>
      <c r="AK89" s="1364"/>
    </row>
    <row r="90" spans="1:37">
      <c r="A90" s="4"/>
      <c r="C90" s="2"/>
      <c r="D90" s="4"/>
      <c r="E90" s="4"/>
      <c r="G90" s="1364"/>
      <c r="H90" s="1364"/>
      <c r="I90" s="1364"/>
      <c r="J90" s="1364"/>
      <c r="K90" s="1364"/>
      <c r="L90" s="1364"/>
      <c r="M90" s="1364"/>
      <c r="N90" s="1364"/>
      <c r="O90" s="1364"/>
      <c r="P90" s="1364"/>
      <c r="Q90" s="1364"/>
      <c r="R90" s="1364"/>
      <c r="S90" s="1364"/>
      <c r="T90" s="1364"/>
      <c r="U90" s="1364"/>
      <c r="V90" s="1364"/>
      <c r="W90" s="1364"/>
      <c r="X90" s="1364"/>
      <c r="Y90" s="1364"/>
      <c r="Z90" s="1364"/>
      <c r="AA90" s="1364"/>
      <c r="AB90" s="1364"/>
      <c r="AC90" s="1364"/>
      <c r="AD90" s="1364"/>
      <c r="AE90" s="1364"/>
      <c r="AF90" s="1364"/>
      <c r="AG90" s="1364"/>
      <c r="AH90" s="1364"/>
      <c r="AI90" s="1364"/>
      <c r="AJ90" s="1364"/>
      <c r="AK90" s="1364"/>
    </row>
    <row r="91" spans="1:37">
      <c r="A91" s="4"/>
      <c r="C91" s="2"/>
      <c r="D91" s="4"/>
      <c r="E91" s="4" t="s">
        <v>263</v>
      </c>
      <c r="F91" s="4" t="s">
        <v>514</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354" t="s">
        <v>1170</v>
      </c>
      <c r="H92" s="1354"/>
      <c r="I92" s="1354"/>
      <c r="J92" s="1354"/>
      <c r="K92" s="1354"/>
      <c r="L92" s="1354"/>
      <c r="M92" s="1354"/>
      <c r="N92" s="1354"/>
      <c r="O92" s="1354"/>
      <c r="P92" s="1354"/>
      <c r="Q92" s="1354"/>
      <c r="R92" s="1354"/>
      <c r="S92" s="1354"/>
      <c r="T92" s="1354"/>
      <c r="U92" s="1354"/>
      <c r="V92" s="1354"/>
      <c r="W92" s="1354"/>
      <c r="X92" s="1354"/>
      <c r="Y92" s="1354"/>
      <c r="Z92" s="1354"/>
      <c r="AA92" s="1354"/>
      <c r="AB92" s="1354"/>
      <c r="AC92" s="1354"/>
      <c r="AD92" s="1354"/>
      <c r="AE92" s="1354"/>
      <c r="AF92" s="1354"/>
      <c r="AG92" s="1354"/>
      <c r="AH92" s="1354"/>
      <c r="AI92" s="1354"/>
      <c r="AJ92" s="1354"/>
      <c r="AK92" s="1354"/>
    </row>
    <row r="93" spans="1:37">
      <c r="A93" s="4"/>
      <c r="C93" s="2"/>
      <c r="D93" s="4"/>
      <c r="E93" s="4"/>
      <c r="G93" s="1354"/>
      <c r="H93" s="1354"/>
      <c r="I93" s="1354"/>
      <c r="J93" s="1354"/>
      <c r="K93" s="1354"/>
      <c r="L93" s="1354"/>
      <c r="M93" s="1354"/>
      <c r="N93" s="1354"/>
      <c r="O93" s="1354"/>
      <c r="P93" s="1354"/>
      <c r="Q93" s="1354"/>
      <c r="R93" s="1354"/>
      <c r="S93" s="1354"/>
      <c r="T93" s="1354"/>
      <c r="U93" s="1354"/>
      <c r="V93" s="1354"/>
      <c r="W93" s="1354"/>
      <c r="X93" s="1354"/>
      <c r="Y93" s="1354"/>
      <c r="Z93" s="1354"/>
      <c r="AA93" s="1354"/>
      <c r="AB93" s="1354"/>
      <c r="AC93" s="1354"/>
      <c r="AD93" s="1354"/>
      <c r="AE93" s="1354"/>
      <c r="AF93" s="1354"/>
      <c r="AG93" s="1354"/>
      <c r="AH93" s="1354"/>
      <c r="AI93" s="1354"/>
      <c r="AJ93" s="1354"/>
      <c r="AK93" s="1354"/>
    </row>
    <row r="94" spans="1:37">
      <c r="A94" s="4"/>
      <c r="C94" s="2"/>
      <c r="D94" s="4"/>
      <c r="E94" s="4" t="s">
        <v>902</v>
      </c>
      <c r="F94" s="204" t="s">
        <v>903</v>
      </c>
      <c r="G94" s="204"/>
      <c r="L94" s="4"/>
      <c r="M94" s="4"/>
      <c r="P94" s="4"/>
      <c r="Q94" s="4"/>
      <c r="R94" s="4"/>
      <c r="S94" s="4"/>
      <c r="T94" s="4"/>
      <c r="U94" s="4"/>
      <c r="V94" s="4"/>
      <c r="W94" s="4"/>
      <c r="X94" s="4"/>
      <c r="Y94" s="4"/>
      <c r="Z94" s="4"/>
      <c r="AA94" s="4"/>
      <c r="AB94" s="4"/>
    </row>
    <row r="95" spans="1:37">
      <c r="A95" s="4"/>
      <c r="C95" s="2"/>
      <c r="D95" s="4"/>
      <c r="E95" s="4"/>
      <c r="G95" s="1354" t="s">
        <v>1171</v>
      </c>
      <c r="H95" s="1354"/>
      <c r="I95" s="1354"/>
      <c r="J95" s="1354"/>
      <c r="K95" s="1354"/>
      <c r="L95" s="1354"/>
      <c r="M95" s="1354"/>
      <c r="N95" s="1354"/>
      <c r="O95" s="1354"/>
      <c r="P95" s="1354"/>
      <c r="Q95" s="1354"/>
      <c r="R95" s="1354"/>
      <c r="S95" s="1354"/>
      <c r="T95" s="1354"/>
      <c r="U95" s="1354"/>
      <c r="V95" s="1354"/>
      <c r="W95" s="1354"/>
      <c r="X95" s="1354"/>
      <c r="Y95" s="1354"/>
      <c r="Z95" s="1354"/>
      <c r="AA95" s="1354"/>
      <c r="AB95" s="1354"/>
      <c r="AC95" s="1354"/>
      <c r="AD95" s="1354"/>
      <c r="AE95" s="1354"/>
      <c r="AF95" s="1354"/>
      <c r="AG95" s="1354"/>
      <c r="AH95" s="1354"/>
      <c r="AI95" s="1354"/>
      <c r="AJ95" s="1354"/>
      <c r="AK95" s="1354"/>
    </row>
    <row r="96" spans="1:37">
      <c r="A96" s="4"/>
      <c r="C96" s="2"/>
      <c r="D96" s="4"/>
      <c r="E96" s="4"/>
      <c r="G96" s="1354"/>
      <c r="H96" s="1354"/>
      <c r="I96" s="1354"/>
      <c r="J96" s="1354"/>
      <c r="K96" s="1354"/>
      <c r="L96" s="1354"/>
      <c r="M96" s="1354"/>
      <c r="N96" s="1354"/>
      <c r="O96" s="1354"/>
      <c r="P96" s="1354"/>
      <c r="Q96" s="1354"/>
      <c r="R96" s="1354"/>
      <c r="S96" s="1354"/>
      <c r="T96" s="1354"/>
      <c r="U96" s="1354"/>
      <c r="V96" s="1354"/>
      <c r="W96" s="1354"/>
      <c r="X96" s="1354"/>
      <c r="Y96" s="1354"/>
      <c r="Z96" s="1354"/>
      <c r="AA96" s="1354"/>
      <c r="AB96" s="1354"/>
      <c r="AC96" s="1354"/>
      <c r="AD96" s="1354"/>
      <c r="AE96" s="1354"/>
      <c r="AF96" s="1354"/>
      <c r="AG96" s="1354"/>
      <c r="AH96" s="1354"/>
      <c r="AI96" s="1354"/>
      <c r="AJ96" s="1354"/>
      <c r="AK96" s="1354"/>
    </row>
    <row r="97" spans="1:38">
      <c r="A97" s="4"/>
      <c r="C97" s="2"/>
      <c r="D97" s="4"/>
      <c r="E97" s="4"/>
      <c r="G97" s="1354"/>
      <c r="H97" s="1354"/>
      <c r="I97" s="1354"/>
      <c r="J97" s="1354"/>
      <c r="K97" s="1354"/>
      <c r="L97" s="1354"/>
      <c r="M97" s="1354"/>
      <c r="N97" s="1354"/>
      <c r="O97" s="1354"/>
      <c r="P97" s="1354"/>
      <c r="Q97" s="1354"/>
      <c r="R97" s="1354"/>
      <c r="S97" s="1354"/>
      <c r="T97" s="1354"/>
      <c r="U97" s="1354"/>
      <c r="V97" s="1354"/>
      <c r="W97" s="1354"/>
      <c r="X97" s="1354"/>
      <c r="Y97" s="1354"/>
      <c r="Z97" s="1354"/>
      <c r="AA97" s="1354"/>
      <c r="AB97" s="1354"/>
      <c r="AC97" s="1354"/>
      <c r="AD97" s="1354"/>
      <c r="AE97" s="1354"/>
      <c r="AF97" s="1354"/>
      <c r="AG97" s="1354"/>
      <c r="AH97" s="1354"/>
      <c r="AI97" s="1354"/>
      <c r="AJ97" s="1354"/>
      <c r="AK97" s="1354"/>
    </row>
    <row r="98" spans="1:38">
      <c r="A98" s="4"/>
      <c r="D98" s="99"/>
      <c r="E98" s="1365" t="s">
        <v>1172</v>
      </c>
      <c r="F98" s="1365"/>
      <c r="G98" s="1365"/>
      <c r="H98" s="1365"/>
      <c r="I98" s="1365"/>
      <c r="J98" s="1365"/>
      <c r="K98" s="1365"/>
      <c r="L98" s="1365"/>
      <c r="M98" s="1365"/>
      <c r="N98" s="1365"/>
      <c r="O98" s="1365"/>
      <c r="P98" s="1365"/>
      <c r="Q98" s="1365"/>
      <c r="R98" s="1365"/>
      <c r="S98" s="1365"/>
      <c r="T98" s="1365"/>
      <c r="U98" s="1365"/>
      <c r="V98" s="1365"/>
      <c r="W98" s="1365"/>
      <c r="X98" s="1365"/>
      <c r="Y98" s="1365"/>
      <c r="Z98" s="1365"/>
      <c r="AA98" s="1365"/>
      <c r="AB98" s="1365"/>
      <c r="AC98" s="1365"/>
      <c r="AD98" s="1365"/>
      <c r="AE98" s="1365"/>
      <c r="AF98" s="1365"/>
      <c r="AG98" s="1365"/>
      <c r="AH98" s="1365"/>
      <c r="AI98" s="1365"/>
      <c r="AJ98" s="1365"/>
      <c r="AK98" s="1365"/>
    </row>
    <row r="99" spans="1:38">
      <c r="A99" s="4"/>
      <c r="D99" s="99"/>
      <c r="E99" s="1365"/>
      <c r="F99" s="1365"/>
      <c r="G99" s="1365"/>
      <c r="H99" s="1365"/>
      <c r="I99" s="1365"/>
      <c r="J99" s="1365"/>
      <c r="K99" s="1365"/>
      <c r="L99" s="1365"/>
      <c r="M99" s="1365"/>
      <c r="N99" s="1365"/>
      <c r="O99" s="1365"/>
      <c r="P99" s="1365"/>
      <c r="Q99" s="1365"/>
      <c r="R99" s="1365"/>
      <c r="S99" s="1365"/>
      <c r="T99" s="1365"/>
      <c r="U99" s="1365"/>
      <c r="V99" s="1365"/>
      <c r="W99" s="1365"/>
      <c r="X99" s="1365"/>
      <c r="Y99" s="1365"/>
      <c r="Z99" s="1365"/>
      <c r="AA99" s="1365"/>
      <c r="AB99" s="1365"/>
      <c r="AC99" s="1365"/>
      <c r="AD99" s="1365"/>
      <c r="AE99" s="1365"/>
      <c r="AF99" s="1365"/>
      <c r="AG99" s="1365"/>
      <c r="AH99" s="1365"/>
      <c r="AI99" s="1365"/>
      <c r="AJ99" s="1365"/>
      <c r="AK99" s="1365"/>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207</v>
      </c>
      <c r="E104" s="2" t="s">
        <v>1185</v>
      </c>
      <c r="F104" s="2"/>
      <c r="G104" s="2"/>
      <c r="H104" s="2"/>
      <c r="I104" s="2"/>
      <c r="J104" s="2"/>
      <c r="K104" s="2"/>
      <c r="L104" s="2"/>
      <c r="M104" s="2"/>
    </row>
    <row r="105" spans="1:38">
      <c r="B105" s="2"/>
      <c r="C105" s="2"/>
      <c r="E105" s="4" t="s">
        <v>112</v>
      </c>
      <c r="F105" s="98" t="s">
        <v>650</v>
      </c>
      <c r="G105" s="2"/>
      <c r="H105" s="2"/>
      <c r="I105" s="2"/>
      <c r="J105" s="2"/>
      <c r="K105" s="2"/>
    </row>
    <row r="106" spans="1:38">
      <c r="E106" s="4"/>
      <c r="F106" t="s">
        <v>652</v>
      </c>
    </row>
    <row r="107" spans="1:38">
      <c r="E107" s="4"/>
      <c r="F107" t="s">
        <v>653</v>
      </c>
    </row>
    <row r="108" spans="1:38">
      <c r="E108" s="4"/>
    </row>
    <row r="109" spans="1:38">
      <c r="E109" s="4" t="s">
        <v>113</v>
      </c>
      <c r="F109" s="98" t="s">
        <v>654</v>
      </c>
      <c r="G109" s="2"/>
      <c r="H109" s="2"/>
      <c r="I109" s="2"/>
      <c r="J109" s="2"/>
    </row>
    <row r="110" spans="1:38">
      <c r="E110" s="4"/>
      <c r="F110" t="s">
        <v>655</v>
      </c>
    </row>
    <row r="111" spans="1:38">
      <c r="E111" s="4"/>
    </row>
    <row r="112" spans="1:38">
      <c r="E112" s="4" t="s">
        <v>119</v>
      </c>
      <c r="F112" s="98" t="s">
        <v>656</v>
      </c>
      <c r="G112" s="2"/>
      <c r="H112" s="2"/>
      <c r="I112" s="2"/>
      <c r="J112" s="2"/>
      <c r="K112" s="2"/>
      <c r="L112" s="2"/>
      <c r="M112" s="2"/>
      <c r="N112" s="2"/>
      <c r="O112" s="2"/>
      <c r="P112" s="2"/>
    </row>
    <row r="113" spans="2:10">
      <c r="E113" s="4"/>
      <c r="F113" s="4" t="s">
        <v>919</v>
      </c>
    </row>
    <row r="114" spans="2:10" ht="12.75" customHeight="1">
      <c r="F114" s="4" t="s">
        <v>949</v>
      </c>
    </row>
    <row r="115" spans="2:10"/>
    <row r="116" spans="2:10">
      <c r="E116" t="s">
        <v>579</v>
      </c>
      <c r="F116" s="98" t="s">
        <v>920</v>
      </c>
    </row>
    <row r="117" spans="2:10">
      <c r="F117" s="4" t="s">
        <v>1013</v>
      </c>
      <c r="G117" s="4"/>
    </row>
    <row r="118" spans="2:10">
      <c r="F118" s="99" t="s">
        <v>1184</v>
      </c>
      <c r="G118" s="99"/>
    </row>
    <row r="119" spans="2:10">
      <c r="G119" s="99"/>
    </row>
    <row r="120" spans="2:10">
      <c r="E120" s="4" t="s">
        <v>761</v>
      </c>
      <c r="F120" s="98" t="s">
        <v>377</v>
      </c>
    </row>
    <row r="121" spans="2:10">
      <c r="E121" s="4"/>
      <c r="F121" s="4" t="s">
        <v>1005</v>
      </c>
    </row>
    <row r="122" spans="2:10">
      <c r="B122" s="2"/>
      <c r="C122" s="2"/>
      <c r="F122" s="2"/>
    </row>
    <row r="123" spans="2:10">
      <c r="B123" s="2"/>
      <c r="C123" s="2" t="s">
        <v>430</v>
      </c>
      <c r="G123" s="2" t="s">
        <v>378</v>
      </c>
    </row>
    <row r="124" spans="2:10">
      <c r="B124" s="2"/>
      <c r="C124" s="2"/>
      <c r="D124" s="2" t="s">
        <v>207</v>
      </c>
      <c r="E124" s="2" t="s">
        <v>320</v>
      </c>
      <c r="F124" s="2"/>
      <c r="G124" s="2"/>
      <c r="H124" s="2"/>
      <c r="I124" s="2"/>
      <c r="J124" s="2"/>
    </row>
    <row r="125" spans="2:10">
      <c r="B125" s="2"/>
      <c r="C125" s="2"/>
      <c r="E125" s="4" t="s">
        <v>921</v>
      </c>
      <c r="F125" s="4"/>
    </row>
    <row r="126" spans="2:10"/>
    <row r="127" spans="2:10">
      <c r="D127" s="2" t="s">
        <v>341</v>
      </c>
      <c r="E127" s="2" t="s">
        <v>575</v>
      </c>
    </row>
    <row r="128" spans="2:10">
      <c r="E128" s="4" t="s">
        <v>921</v>
      </c>
      <c r="F128" s="4"/>
    </row>
    <row r="129" spans="4:37"/>
    <row r="130" spans="4:37">
      <c r="D130" s="2" t="s">
        <v>572</v>
      </c>
      <c r="E130" s="2" t="s">
        <v>722</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512</v>
      </c>
      <c r="E135" s="2" t="s">
        <v>515</v>
      </c>
      <c r="F135" s="2"/>
    </row>
    <row r="136" spans="4:37">
      <c r="E136" s="3" t="s">
        <v>1210</v>
      </c>
      <c r="F136" s="4"/>
    </row>
    <row r="137" spans="4:37">
      <c r="F137" s="4"/>
    </row>
    <row r="138" spans="4:37">
      <c r="D138" s="2" t="s">
        <v>303</v>
      </c>
      <c r="E138" s="2" t="s">
        <v>1993</v>
      </c>
      <c r="F138" s="2"/>
      <c r="G138" s="2"/>
      <c r="H138" s="2"/>
    </row>
    <row r="139" spans="4:37">
      <c r="E139" t="s">
        <v>112</v>
      </c>
      <c r="F139" t="s">
        <v>52</v>
      </c>
    </row>
    <row r="140" spans="4:37">
      <c r="E140" t="s">
        <v>113</v>
      </c>
      <c r="F140" t="s">
        <v>464</v>
      </c>
    </row>
    <row r="141" spans="4:37"/>
    <row r="142" spans="4:37">
      <c r="D142" s="2" t="s">
        <v>428</v>
      </c>
      <c r="E142" s="2" t="s">
        <v>1994</v>
      </c>
    </row>
    <row r="143" spans="4:37">
      <c r="E143" s="204" t="s">
        <v>1995</v>
      </c>
      <c r="F143" s="204"/>
    </row>
    <row r="144" spans="4:37"/>
    <row r="145" spans="3:7">
      <c r="C145" s="2" t="s">
        <v>6</v>
      </c>
      <c r="G145" s="2" t="s">
        <v>379</v>
      </c>
    </row>
    <row r="146" spans="3:7">
      <c r="D146" s="2" t="s">
        <v>207</v>
      </c>
      <c r="E146" s="2" t="s">
        <v>135</v>
      </c>
    </row>
    <row r="147" spans="3:7">
      <c r="E147" t="s">
        <v>795</v>
      </c>
    </row>
    <row r="148" spans="3:7"/>
    <row r="149" spans="3:7">
      <c r="D149" s="2" t="s">
        <v>341</v>
      </c>
      <c r="E149" s="2" t="s">
        <v>522</v>
      </c>
      <c r="F149" s="2"/>
    </row>
    <row r="150" spans="3:7">
      <c r="E150" s="4" t="s">
        <v>923</v>
      </c>
      <c r="F150" s="4"/>
    </row>
    <row r="151" spans="3:7"/>
    <row r="152" spans="3:7">
      <c r="D152" s="2" t="s">
        <v>572</v>
      </c>
      <c r="E152" s="2" t="s">
        <v>551</v>
      </c>
    </row>
    <row r="153" spans="3:7">
      <c r="E153" s="4" t="s">
        <v>924</v>
      </c>
    </row>
    <row r="154" spans="3:7">
      <c r="E154" s="4" t="s">
        <v>922</v>
      </c>
      <c r="G154" s="4"/>
    </row>
    <row r="155" spans="3:7"/>
    <row r="156" spans="3:7">
      <c r="D156" s="2" t="s">
        <v>512</v>
      </c>
      <c r="E156" s="2" t="s">
        <v>531</v>
      </c>
    </row>
    <row r="157" spans="3:7">
      <c r="E157" t="s">
        <v>112</v>
      </c>
      <c r="F157" s="4" t="s">
        <v>925</v>
      </c>
    </row>
    <row r="158" spans="3:7">
      <c r="E158" s="4" t="s">
        <v>113</v>
      </c>
      <c r="F158" s="4" t="s">
        <v>926</v>
      </c>
    </row>
    <row r="159" spans="3:7">
      <c r="E159" s="4" t="s">
        <v>119</v>
      </c>
      <c r="F159" t="s">
        <v>723</v>
      </c>
    </row>
    <row r="160" spans="3:7"/>
    <row r="161" spans="3:20">
      <c r="D161" s="2" t="s">
        <v>303</v>
      </c>
      <c r="E161" s="2" t="s">
        <v>380</v>
      </c>
    </row>
    <row r="162" spans="3:20">
      <c r="E162" s="4" t="s">
        <v>927</v>
      </c>
      <c r="F162" s="4"/>
    </row>
    <row r="163" spans="3:20"/>
    <row r="164" spans="3:20">
      <c r="D164" s="2" t="s">
        <v>428</v>
      </c>
      <c r="E164" s="2" t="s">
        <v>172</v>
      </c>
    </row>
    <row r="165" spans="3:20">
      <c r="E165" s="4" t="s">
        <v>929</v>
      </c>
    </row>
    <row r="166" spans="3:20">
      <c r="E166" s="4" t="s">
        <v>928</v>
      </c>
    </row>
    <row r="167" spans="3:20"/>
    <row r="168" spans="3:20">
      <c r="D168" s="2" t="s">
        <v>555</v>
      </c>
      <c r="E168" s="2" t="s">
        <v>620</v>
      </c>
    </row>
    <row r="169" spans="3:20">
      <c r="E169" t="s">
        <v>112</v>
      </c>
      <c r="F169" t="s">
        <v>724</v>
      </c>
    </row>
    <row r="170" spans="3:20">
      <c r="E170" t="s">
        <v>113</v>
      </c>
      <c r="F170" t="s">
        <v>297</v>
      </c>
    </row>
    <row r="171" spans="3:20">
      <c r="F171" s="4"/>
    </row>
    <row r="172" spans="3:20">
      <c r="C172" s="2" t="s">
        <v>7</v>
      </c>
      <c r="E172" s="4"/>
      <c r="G172" s="2" t="s">
        <v>381</v>
      </c>
    </row>
    <row r="173" spans="3:20">
      <c r="E173" s="4" t="s">
        <v>865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575</v>
      </c>
    </row>
    <row r="176" spans="3:20">
      <c r="D176" s="2" t="s">
        <v>207</v>
      </c>
      <c r="E176" s="2" t="s">
        <v>298</v>
      </c>
      <c r="G176" s="4"/>
      <c r="H176" s="4"/>
      <c r="I176" s="4"/>
      <c r="J176" s="4"/>
      <c r="K176" s="4"/>
      <c r="L176" s="4"/>
      <c r="M176" s="4"/>
      <c r="N176" s="4"/>
    </row>
    <row r="177" spans="2:19">
      <c r="E177" t="s">
        <v>112</v>
      </c>
      <c r="F177" s="4" t="s">
        <v>930</v>
      </c>
    </row>
    <row r="178" spans="2:19">
      <c r="F178" s="120" t="s">
        <v>1145</v>
      </c>
      <c r="I178" s="120"/>
    </row>
    <row r="179" spans="2:19">
      <c r="I179" s="120"/>
    </row>
    <row r="180" spans="2:19">
      <c r="B180" s="4"/>
      <c r="C180" s="4"/>
      <c r="E180" t="s">
        <v>113</v>
      </c>
      <c r="F180" s="3" t="s">
        <v>866</v>
      </c>
      <c r="H180" s="4"/>
    </row>
    <row r="181" spans="2:19">
      <c r="B181" s="4"/>
      <c r="C181" s="4"/>
      <c r="F181" t="s">
        <v>651</v>
      </c>
      <c r="G181" t="s">
        <v>706</v>
      </c>
      <c r="H181" s="4"/>
      <c r="O181" s="4"/>
      <c r="P181" s="4"/>
      <c r="Q181" s="4"/>
      <c r="R181" s="4"/>
      <c r="S181" s="4"/>
    </row>
    <row r="182" spans="2:19">
      <c r="B182" s="4"/>
      <c r="C182" s="4"/>
      <c r="H182" s="4"/>
      <c r="O182" s="4"/>
      <c r="P182" s="4"/>
      <c r="Q182" s="4"/>
      <c r="R182" s="4"/>
      <c r="S182" s="4"/>
    </row>
    <row r="183" spans="2:19">
      <c r="D183" s="2" t="s">
        <v>341</v>
      </c>
      <c r="E183" s="2" t="s">
        <v>1006</v>
      </c>
    </row>
    <row r="184" spans="2:19">
      <c r="B184" s="4"/>
      <c r="C184" s="4"/>
      <c r="E184" s="4" t="s">
        <v>707</v>
      </c>
      <c r="F184" s="4"/>
      <c r="I184" s="4"/>
    </row>
    <row r="185" spans="2:19">
      <c r="B185" s="4"/>
      <c r="C185" s="4"/>
      <c r="E185" s="4" t="s">
        <v>1004</v>
      </c>
      <c r="F185" s="120"/>
      <c r="G185" s="4"/>
      <c r="I185" s="120"/>
    </row>
    <row r="186" spans="2:19">
      <c r="B186" s="4"/>
      <c r="C186" s="4"/>
      <c r="F186" s="120"/>
      <c r="G186" s="4"/>
      <c r="I186" s="120"/>
    </row>
    <row r="187" spans="2:19">
      <c r="B187" s="4"/>
      <c r="C187" s="4"/>
      <c r="D187" s="2" t="s">
        <v>572</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512</v>
      </c>
      <c r="E190" s="2" t="s">
        <v>111</v>
      </c>
    </row>
    <row r="191" spans="2:19">
      <c r="B191" s="4"/>
      <c r="C191" s="2"/>
      <c r="E191" t="s">
        <v>112</v>
      </c>
      <c r="F191" s="4" t="s">
        <v>1014</v>
      </c>
      <c r="G191" s="4"/>
      <c r="H191" s="4"/>
      <c r="I191" s="4"/>
    </row>
    <row r="192" spans="2:19">
      <c r="B192" s="4"/>
      <c r="C192" s="2"/>
      <c r="F192" s="4" t="s">
        <v>651</v>
      </c>
      <c r="G192" s="3" t="s">
        <v>1204</v>
      </c>
    </row>
    <row r="193" spans="2:37">
      <c r="B193" s="4"/>
      <c r="C193" s="4"/>
      <c r="F193" s="4" t="s">
        <v>348</v>
      </c>
      <c r="G193" s="3" t="s">
        <v>1205</v>
      </c>
      <c r="I193" s="4"/>
      <c r="J193" s="4"/>
      <c r="M193" s="4"/>
      <c r="N193" s="4"/>
      <c r="O193" s="4"/>
      <c r="P193" s="4"/>
      <c r="Q193" s="4"/>
      <c r="R193" s="4"/>
      <c r="S193" s="4"/>
    </row>
    <row r="194" spans="2:37">
      <c r="B194" s="4"/>
      <c r="C194" s="4"/>
      <c r="F194" s="4" t="s">
        <v>349</v>
      </c>
      <c r="G194" s="4" t="s">
        <v>931</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932</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933</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708</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651</v>
      </c>
      <c r="G203" s="4" t="s">
        <v>934</v>
      </c>
      <c r="I203" s="4"/>
      <c r="J203" s="4"/>
      <c r="M203" s="4"/>
      <c r="N203" s="4"/>
      <c r="O203" s="4"/>
      <c r="P203" s="4"/>
      <c r="Q203" s="4"/>
      <c r="R203" s="4"/>
      <c r="S203" s="4"/>
      <c r="T203" s="4"/>
      <c r="U203" s="4"/>
      <c r="V203" s="4"/>
      <c r="W203" s="4"/>
      <c r="X203" s="4"/>
      <c r="Y203" s="4"/>
    </row>
    <row r="204" spans="2:37">
      <c r="B204" s="4"/>
      <c r="C204" s="4"/>
      <c r="D204" s="2"/>
      <c r="E204" s="4" t="s">
        <v>579</v>
      </c>
      <c r="F204" s="4" t="s">
        <v>935</v>
      </c>
      <c r="M204" s="4"/>
      <c r="N204" s="4"/>
      <c r="O204" s="4"/>
      <c r="P204" s="4"/>
      <c r="Q204" s="4"/>
      <c r="R204" s="4"/>
      <c r="S204" s="4"/>
    </row>
    <row r="205" spans="2:37">
      <c r="B205" s="4"/>
      <c r="C205" s="4"/>
      <c r="D205" s="2"/>
      <c r="F205" t="s">
        <v>651</v>
      </c>
      <c r="G205" s="1354" t="s">
        <v>1173</v>
      </c>
      <c r="H205" s="1354"/>
      <c r="I205" s="1354"/>
      <c r="J205" s="1354"/>
      <c r="K205" s="1354"/>
      <c r="L205" s="1354"/>
      <c r="M205" s="1354"/>
      <c r="N205" s="1354"/>
      <c r="O205" s="1354"/>
      <c r="P205" s="1354"/>
      <c r="Q205" s="1354"/>
      <c r="R205" s="1354"/>
      <c r="S205" s="1354"/>
      <c r="T205" s="1354"/>
      <c r="U205" s="1354"/>
      <c r="V205" s="1354"/>
      <c r="W205" s="1354"/>
      <c r="X205" s="1354"/>
      <c r="Y205" s="1354"/>
      <c r="Z205" s="1354"/>
      <c r="AA205" s="1354"/>
      <c r="AB205" s="1354"/>
      <c r="AC205" s="1354"/>
      <c r="AD205" s="1354"/>
      <c r="AE205" s="1354"/>
      <c r="AF205" s="1354"/>
      <c r="AG205" s="1354"/>
      <c r="AH205" s="1354"/>
      <c r="AI205" s="1354"/>
      <c r="AJ205" s="1354"/>
      <c r="AK205" s="1354"/>
    </row>
    <row r="206" spans="2:37">
      <c r="B206" s="4"/>
      <c r="C206" s="4"/>
      <c r="D206" s="2"/>
      <c r="G206" s="1354"/>
      <c r="H206" s="1354"/>
      <c r="I206" s="1354"/>
      <c r="J206" s="1354"/>
      <c r="K206" s="1354"/>
      <c r="L206" s="1354"/>
      <c r="M206" s="1354"/>
      <c r="N206" s="1354"/>
      <c r="O206" s="1354"/>
      <c r="P206" s="1354"/>
      <c r="Q206" s="1354"/>
      <c r="R206" s="1354"/>
      <c r="S206" s="1354"/>
      <c r="T206" s="1354"/>
      <c r="U206" s="1354"/>
      <c r="V206" s="1354"/>
      <c r="W206" s="1354"/>
      <c r="X206" s="1354"/>
      <c r="Y206" s="1354"/>
      <c r="Z206" s="1354"/>
      <c r="AA206" s="1354"/>
      <c r="AB206" s="1354"/>
      <c r="AC206" s="1354"/>
      <c r="AD206" s="1354"/>
      <c r="AE206" s="1354"/>
      <c r="AF206" s="1354"/>
      <c r="AG206" s="1354"/>
      <c r="AH206" s="1354"/>
      <c r="AI206" s="1354"/>
      <c r="AJ206" s="1354"/>
      <c r="AK206" s="1354"/>
    </row>
    <row r="207" spans="2:37">
      <c r="B207" s="4"/>
      <c r="C207" s="4"/>
      <c r="D207" s="2"/>
      <c r="M207" s="4"/>
      <c r="N207" s="4"/>
      <c r="O207" s="4"/>
      <c r="P207" s="4"/>
      <c r="Q207" s="4"/>
      <c r="R207" s="4"/>
      <c r="S207" s="4"/>
    </row>
    <row r="208" spans="2:37">
      <c r="B208" s="4"/>
      <c r="C208" s="4"/>
      <c r="D208" s="2" t="s">
        <v>555</v>
      </c>
      <c r="E208" s="2" t="s">
        <v>762</v>
      </c>
      <c r="G208" s="4"/>
      <c r="H208" s="4"/>
      <c r="I208" s="4"/>
      <c r="J208" s="4"/>
      <c r="M208" s="4"/>
      <c r="N208" s="4"/>
      <c r="O208" s="4"/>
      <c r="P208" s="4"/>
      <c r="Q208" s="4"/>
      <c r="R208" s="4"/>
      <c r="S208" s="4"/>
      <c r="T208" s="4"/>
      <c r="U208" s="4"/>
      <c r="V208" s="4"/>
      <c r="W208" s="4"/>
    </row>
    <row r="209" spans="1:38">
      <c r="B209" s="4"/>
      <c r="C209" s="4"/>
      <c r="E209" s="4" t="s">
        <v>709</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553</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710</v>
      </c>
      <c r="D214" s="2"/>
      <c r="G214" s="2" t="s">
        <v>807</v>
      </c>
      <c r="M214" s="4"/>
      <c r="N214" s="4"/>
      <c r="O214" s="4"/>
      <c r="P214" s="4"/>
      <c r="Q214" s="4"/>
      <c r="R214" s="4"/>
      <c r="S214" s="4"/>
    </row>
    <row r="215" spans="1:38">
      <c r="B215" s="4"/>
      <c r="C215" s="4"/>
      <c r="E215" t="s">
        <v>112</v>
      </c>
      <c r="F215" s="4" t="s">
        <v>806</v>
      </c>
      <c r="G215" s="4"/>
      <c r="H215" s="4"/>
      <c r="I215" s="4"/>
      <c r="L215" s="4"/>
      <c r="N215" s="4"/>
      <c r="O215" s="4"/>
      <c r="P215" s="4"/>
      <c r="Q215" s="4"/>
      <c r="R215" s="4"/>
      <c r="S215" s="4"/>
    </row>
    <row r="216" spans="1:38">
      <c r="B216" s="4"/>
      <c r="C216" s="4"/>
      <c r="F216" s="4" t="s">
        <v>651</v>
      </c>
      <c r="G216" s="4" t="s">
        <v>713</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651</v>
      </c>
      <c r="G218" s="4" t="s">
        <v>711</v>
      </c>
      <c r="I218" s="4"/>
      <c r="M218" s="4"/>
      <c r="N218" s="4"/>
      <c r="O218" s="4"/>
      <c r="P218" s="4"/>
      <c r="Q218" s="4"/>
      <c r="R218" s="4"/>
      <c r="S218" s="4"/>
    </row>
    <row r="219" spans="1:38">
      <c r="B219" s="4"/>
      <c r="C219" s="4"/>
      <c r="F219" s="4"/>
      <c r="G219" s="4" t="s">
        <v>712</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450</v>
      </c>
      <c r="I223" s="4"/>
      <c r="J223" s="4"/>
      <c r="K223" s="4"/>
      <c r="M223" s="4"/>
      <c r="N223" s="4"/>
      <c r="O223" s="4"/>
      <c r="P223" s="4"/>
      <c r="Q223" s="4"/>
      <c r="R223" s="4"/>
      <c r="S223" s="4"/>
    </row>
    <row r="224" spans="1:38">
      <c r="B224" s="2"/>
      <c r="E224" s="4" t="s">
        <v>112</v>
      </c>
      <c r="F224" s="4" t="s">
        <v>714</v>
      </c>
      <c r="G224" s="4"/>
      <c r="I224" s="4"/>
      <c r="J224" s="4"/>
      <c r="K224" s="4"/>
      <c r="L224" s="4"/>
      <c r="M224" s="4"/>
      <c r="N224" s="4"/>
      <c r="O224" s="4"/>
      <c r="P224" s="4"/>
      <c r="Q224" s="4"/>
      <c r="R224" s="4"/>
      <c r="S224" s="4"/>
    </row>
    <row r="225" spans="2:19">
      <c r="B225" s="2"/>
      <c r="E225" s="4" t="s">
        <v>113</v>
      </c>
      <c r="F225" s="4" t="s">
        <v>678</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715</v>
      </c>
      <c r="G228" s="4"/>
      <c r="I228" s="4"/>
      <c r="J228" s="4"/>
      <c r="K228" s="4"/>
      <c r="L228" s="4"/>
      <c r="M228" s="4"/>
      <c r="N228" s="4"/>
      <c r="O228" s="4"/>
      <c r="P228" s="4"/>
      <c r="Q228" s="4"/>
      <c r="R228" s="4"/>
      <c r="S228" s="4"/>
    </row>
    <row r="229" spans="2:19">
      <c r="B229" s="2"/>
      <c r="E229" s="4"/>
      <c r="F229" s="4" t="s">
        <v>716</v>
      </c>
      <c r="G229" s="4"/>
      <c r="H229" s="4"/>
      <c r="I229" s="4"/>
      <c r="J229" s="4"/>
      <c r="K229" s="4"/>
      <c r="L229" s="4"/>
      <c r="M229" s="4"/>
      <c r="N229" s="4"/>
      <c r="O229" s="4"/>
      <c r="P229" s="4"/>
      <c r="Q229" s="4"/>
      <c r="R229" s="4"/>
      <c r="S229" s="4"/>
    </row>
    <row r="230" spans="2:19">
      <c r="B230" s="2"/>
      <c r="D230" s="4"/>
      <c r="E230" s="4" t="s">
        <v>113</v>
      </c>
      <c r="F230" s="4" t="s">
        <v>678</v>
      </c>
      <c r="G230" s="4"/>
      <c r="I230" s="4"/>
      <c r="J230" s="4"/>
      <c r="K230" s="4"/>
      <c r="L230" s="4"/>
      <c r="M230" s="4"/>
      <c r="N230" s="4"/>
      <c r="O230" s="4"/>
      <c r="P230" s="4"/>
      <c r="Q230" s="4"/>
      <c r="R230" s="4"/>
      <c r="S230" s="4"/>
    </row>
    <row r="231" spans="2:19">
      <c r="B231" s="2"/>
      <c r="E231" s="4" t="s">
        <v>119</v>
      </c>
      <c r="F231" s="98" t="s">
        <v>950</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651</v>
      </c>
      <c r="G235" s="4" t="s">
        <v>717</v>
      </c>
      <c r="I235" s="4"/>
      <c r="M235" s="4"/>
      <c r="N235" s="4"/>
      <c r="O235" s="4"/>
      <c r="P235" s="4"/>
      <c r="Q235" s="4"/>
      <c r="R235" s="4"/>
      <c r="S235" s="4"/>
    </row>
    <row r="236" spans="2:19">
      <c r="B236" s="4"/>
      <c r="C236" s="4"/>
      <c r="F236" s="4"/>
      <c r="G236" s="4" t="s">
        <v>796</v>
      </c>
      <c r="I236" s="4"/>
      <c r="M236" s="4"/>
      <c r="N236" s="4"/>
      <c r="O236" s="4"/>
      <c r="P236" s="4"/>
      <c r="Q236" s="4"/>
      <c r="R236" s="4"/>
      <c r="S236" s="4"/>
    </row>
    <row r="237" spans="2:19">
      <c r="B237" s="4"/>
      <c r="C237" s="4"/>
      <c r="E237" t="s">
        <v>113</v>
      </c>
      <c r="F237" s="136" t="s">
        <v>443</v>
      </c>
      <c r="G237" s="2"/>
      <c r="H237" s="2"/>
      <c r="I237" s="2"/>
      <c r="L237" s="2"/>
      <c r="M237" s="2"/>
      <c r="N237" s="2"/>
      <c r="O237" s="2"/>
      <c r="P237" s="2"/>
      <c r="Q237" s="2"/>
      <c r="R237" s="2"/>
      <c r="S237" s="2"/>
    </row>
    <row r="238" spans="2:19">
      <c r="B238" s="4"/>
      <c r="C238" s="4"/>
      <c r="F238" s="4" t="s">
        <v>651</v>
      </c>
      <c r="G238" s="4" t="s">
        <v>720</v>
      </c>
      <c r="I238" s="4"/>
      <c r="M238" s="4"/>
      <c r="N238" s="4"/>
      <c r="O238" s="4"/>
      <c r="P238" s="4"/>
      <c r="Q238" s="4"/>
      <c r="R238" s="4"/>
      <c r="S238" s="4"/>
    </row>
    <row r="239" spans="2:19">
      <c r="B239" s="4"/>
      <c r="C239" s="4"/>
      <c r="F239" s="4"/>
      <c r="G239" s="4" t="s">
        <v>685</v>
      </c>
      <c r="H239" s="4" t="s">
        <v>939</v>
      </c>
      <c r="I239" s="4"/>
      <c r="M239" s="4"/>
      <c r="N239" s="4"/>
      <c r="O239" s="4"/>
      <c r="P239" s="4"/>
      <c r="Q239" s="4"/>
      <c r="R239" s="4"/>
      <c r="S239" s="4"/>
    </row>
    <row r="240" spans="2:19">
      <c r="B240" s="4"/>
      <c r="C240" s="4"/>
      <c r="F240" s="4" t="s">
        <v>348</v>
      </c>
      <c r="G240" s="136" t="s">
        <v>721</v>
      </c>
      <c r="I240" s="4"/>
      <c r="M240" s="4"/>
      <c r="N240" s="4"/>
      <c r="O240" s="4"/>
      <c r="P240" s="4"/>
      <c r="Q240" s="4"/>
      <c r="R240" s="4"/>
      <c r="S240" s="4"/>
    </row>
    <row r="241" spans="2:21">
      <c r="B241" s="4"/>
      <c r="C241" s="4"/>
      <c r="E241" t="s">
        <v>119</v>
      </c>
      <c r="F241" s="4" t="s">
        <v>651</v>
      </c>
      <c r="G241" s="136" t="s">
        <v>940</v>
      </c>
      <c r="I241" s="4"/>
      <c r="M241" s="4"/>
      <c r="N241" s="4"/>
      <c r="O241" s="4"/>
      <c r="P241" s="4"/>
      <c r="Q241" s="4"/>
      <c r="R241" s="4"/>
      <c r="S241" s="4"/>
    </row>
    <row r="242" spans="2:21">
      <c r="B242" s="4"/>
      <c r="C242" s="4"/>
      <c r="F242" s="4" t="s">
        <v>348</v>
      </c>
      <c r="G242" s="136" t="s">
        <v>941</v>
      </c>
      <c r="I242" s="4"/>
      <c r="M242" s="4"/>
      <c r="N242" s="4"/>
      <c r="O242" s="4"/>
      <c r="P242" s="4"/>
      <c r="Q242" s="4"/>
      <c r="R242" s="4"/>
      <c r="S242" s="4"/>
    </row>
    <row r="243" spans="2:21">
      <c r="B243" s="4"/>
      <c r="C243" s="4"/>
      <c r="F243" s="4" t="s">
        <v>349</v>
      </c>
      <c r="G243" s="136" t="s">
        <v>718</v>
      </c>
      <c r="I243" s="4"/>
      <c r="M243" s="4"/>
      <c r="N243" s="4"/>
      <c r="O243" s="4"/>
      <c r="P243" s="4"/>
      <c r="Q243" s="4"/>
      <c r="R243" s="4"/>
      <c r="S243" s="4"/>
    </row>
    <row r="244" spans="2:21">
      <c r="B244" s="4"/>
      <c r="C244" s="4"/>
      <c r="F244" s="4"/>
      <c r="G244" s="136" t="s">
        <v>719</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651</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936</v>
      </c>
      <c r="I252" s="4"/>
      <c r="J252" s="4"/>
      <c r="K252" s="4"/>
      <c r="L252" s="4"/>
      <c r="M252" s="4"/>
      <c r="N252" s="4"/>
      <c r="O252" s="4"/>
      <c r="P252" s="4"/>
      <c r="Q252" s="4"/>
      <c r="R252" s="4"/>
      <c r="S252" s="4"/>
      <c r="T252" s="4"/>
      <c r="U252" s="4"/>
    </row>
    <row r="253" spans="2:21">
      <c r="B253" s="2"/>
      <c r="C253" s="2"/>
      <c r="E253" s="4"/>
      <c r="F253" s="204" t="s">
        <v>651</v>
      </c>
      <c r="G253" s="204" t="s">
        <v>809</v>
      </c>
      <c r="I253" s="3"/>
      <c r="K253" s="3"/>
      <c r="L253" s="3"/>
      <c r="M253" s="3"/>
      <c r="N253" s="3"/>
      <c r="O253" s="3"/>
      <c r="Q253" s="4"/>
      <c r="R253" s="4"/>
      <c r="S253" s="4"/>
      <c r="T253" s="4"/>
      <c r="U253" s="4"/>
    </row>
    <row r="254" spans="2:21">
      <c r="B254" s="2"/>
      <c r="C254" s="2"/>
      <c r="E254" s="4"/>
      <c r="F254" s="204"/>
      <c r="G254" s="204" t="s">
        <v>810</v>
      </c>
      <c r="I254" s="3"/>
      <c r="K254" s="3"/>
      <c r="L254" s="3"/>
      <c r="M254" s="3"/>
      <c r="N254" s="3"/>
      <c r="O254" s="3"/>
      <c r="P254" s="3"/>
    </row>
    <row r="255" spans="2:21">
      <c r="B255" s="2"/>
      <c r="C255" s="2"/>
      <c r="E255" s="4"/>
      <c r="F255" s="204" t="s">
        <v>348</v>
      </c>
      <c r="G255" s="204" t="s">
        <v>942</v>
      </c>
      <c r="I255" s="4"/>
      <c r="K255" s="4"/>
      <c r="L255" s="4"/>
      <c r="M255" s="4"/>
      <c r="N255" s="4"/>
      <c r="O255" s="4"/>
      <c r="P255" s="3"/>
    </row>
    <row r="256" spans="2:21">
      <c r="B256" s="2"/>
      <c r="C256" s="2"/>
      <c r="E256" s="4"/>
      <c r="F256" s="204"/>
      <c r="G256" s="204" t="s">
        <v>868</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383</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801</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802</v>
      </c>
      <c r="I262" s="4"/>
      <c r="J262" s="4"/>
      <c r="K262" s="4"/>
      <c r="L262" s="4"/>
      <c r="M262" s="4"/>
      <c r="N262" s="4"/>
      <c r="O262" s="4"/>
      <c r="P262" s="4"/>
      <c r="Q262" s="4"/>
      <c r="R262" s="4"/>
      <c r="S262" s="4"/>
    </row>
    <row r="263" spans="2:21">
      <c r="B263" s="2"/>
      <c r="C263" s="2"/>
      <c r="E263" s="4" t="s">
        <v>579</v>
      </c>
      <c r="F263" s="204" t="s">
        <v>811</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572</v>
      </c>
      <c r="E268" s="2" t="s">
        <v>287</v>
      </c>
      <c r="G268" s="4"/>
    </row>
    <row r="269" spans="2:21">
      <c r="B269" s="2"/>
      <c r="C269" s="2"/>
      <c r="E269" s="4" t="s">
        <v>255</v>
      </c>
      <c r="F269" s="4"/>
      <c r="G269" s="4"/>
      <c r="J269" s="4"/>
      <c r="K269" s="4"/>
      <c r="L269" s="4"/>
      <c r="M269" s="4"/>
      <c r="N269" s="4"/>
    </row>
    <row r="270" spans="2:21">
      <c r="B270" s="2"/>
      <c r="C270" s="2"/>
      <c r="E270" s="4" t="s">
        <v>943</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512</v>
      </c>
      <c r="E272" s="2" t="s">
        <v>610</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937</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944</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945</v>
      </c>
      <c r="F283" s="120"/>
      <c r="G283" s="4"/>
      <c r="H283" s="120"/>
      <c r="I283" s="120"/>
      <c r="J283" s="4"/>
      <c r="K283" s="4"/>
      <c r="L283" s="4"/>
      <c r="M283" s="4"/>
      <c r="P283" s="4"/>
      <c r="Q283" s="4"/>
      <c r="R283" s="4"/>
      <c r="S283" s="4"/>
    </row>
    <row r="284" spans="2:23">
      <c r="B284" s="2"/>
      <c r="D284" s="2"/>
      <c r="E284" s="445" t="s">
        <v>867</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555</v>
      </c>
      <c r="E286" s="2" t="s">
        <v>556</v>
      </c>
      <c r="K286" s="4"/>
      <c r="L286" s="4"/>
      <c r="M286" s="4"/>
      <c r="N286" s="4"/>
    </row>
    <row r="287" spans="2:23">
      <c r="B287" s="2"/>
      <c r="D287" s="4"/>
      <c r="E287" s="4" t="s">
        <v>112</v>
      </c>
      <c r="F287" s="4" t="s">
        <v>557</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558</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651</v>
      </c>
      <c r="G291" s="4" t="s">
        <v>260</v>
      </c>
      <c r="K291" s="4"/>
      <c r="L291" s="4"/>
      <c r="M291" s="4"/>
      <c r="N291" s="4"/>
      <c r="O291" s="4"/>
      <c r="P291" s="4"/>
      <c r="Q291" s="4"/>
      <c r="R291" s="4"/>
      <c r="S291" s="4"/>
      <c r="T291" s="4"/>
      <c r="U291" s="4"/>
      <c r="V291" s="4"/>
      <c r="W291" s="4"/>
    </row>
    <row r="292" spans="2:23">
      <c r="B292" s="2"/>
      <c r="D292" s="4"/>
      <c r="E292" s="4"/>
      <c r="F292" s="4" t="s">
        <v>348</v>
      </c>
      <c r="G292" s="4" t="s">
        <v>938</v>
      </c>
      <c r="H292" s="4"/>
      <c r="K292" s="4"/>
      <c r="L292" s="4"/>
      <c r="M292" s="4"/>
      <c r="N292" s="4"/>
      <c r="O292" s="4"/>
      <c r="P292" s="4"/>
      <c r="Q292" s="4"/>
      <c r="R292" s="4"/>
      <c r="S292" s="4"/>
      <c r="T292" s="4"/>
      <c r="U292" s="4"/>
      <c r="V292" s="4"/>
      <c r="W292" s="4"/>
    </row>
    <row r="293" spans="2:23">
      <c r="B293" s="2"/>
      <c r="D293" s="4"/>
      <c r="E293" s="4"/>
      <c r="F293" s="4" t="s">
        <v>349</v>
      </c>
      <c r="G293" s="4" t="s">
        <v>559</v>
      </c>
      <c r="K293" s="4"/>
      <c r="L293" s="4"/>
      <c r="M293" s="4"/>
      <c r="N293" s="4"/>
      <c r="O293" s="4"/>
      <c r="P293" s="4"/>
      <c r="Q293" s="4"/>
      <c r="R293" s="4"/>
      <c r="S293" s="4"/>
      <c r="T293" s="4"/>
      <c r="U293" s="4"/>
      <c r="V293" s="4"/>
      <c r="W293" s="4"/>
    </row>
    <row r="294" spans="2:23">
      <c r="B294" s="2"/>
      <c r="D294" s="4"/>
      <c r="E294" s="4"/>
      <c r="F294" s="4" t="s">
        <v>442</v>
      </c>
      <c r="G294" s="4" t="s">
        <v>261</v>
      </c>
      <c r="H294" s="4"/>
      <c r="K294" s="4"/>
      <c r="L294" s="4"/>
      <c r="M294" s="4"/>
      <c r="N294" s="4"/>
      <c r="O294" s="4"/>
      <c r="P294" s="4"/>
      <c r="Q294" s="4"/>
      <c r="R294" s="4"/>
      <c r="S294" s="4"/>
      <c r="T294" s="4"/>
      <c r="U294" s="4"/>
      <c r="V294" s="4"/>
      <c r="W294" s="4"/>
    </row>
    <row r="295" spans="2:23">
      <c r="B295" s="2"/>
      <c r="D295" s="4"/>
      <c r="E295" s="4"/>
      <c r="F295" s="4" t="s">
        <v>262</v>
      </c>
      <c r="G295" s="4" t="s">
        <v>389</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579</v>
      </c>
      <c r="F297" s="4" t="s">
        <v>740</v>
      </c>
      <c r="G297" s="4"/>
      <c r="K297" s="4"/>
      <c r="L297" s="4"/>
      <c r="M297" s="4"/>
      <c r="N297" s="4"/>
      <c r="O297" s="4"/>
      <c r="P297" s="4"/>
      <c r="Q297" s="4"/>
      <c r="R297" s="4"/>
      <c r="S297" s="4"/>
      <c r="T297" s="4"/>
      <c r="U297" s="4"/>
      <c r="V297" s="4"/>
      <c r="W297" s="4"/>
    </row>
    <row r="298" spans="2:23">
      <c r="B298" s="2"/>
      <c r="D298" s="4"/>
      <c r="E298" s="4" t="s">
        <v>761</v>
      </c>
      <c r="F298" s="4" t="s">
        <v>747</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553</v>
      </c>
      <c r="E303" s="2" t="s">
        <v>289</v>
      </c>
      <c r="G303" s="4"/>
      <c r="H303" s="4"/>
      <c r="I303" s="4"/>
      <c r="J303" s="4"/>
      <c r="K303" s="4"/>
      <c r="L303" s="4"/>
      <c r="M303" s="4"/>
      <c r="N303" s="4"/>
      <c r="O303" s="4"/>
      <c r="P303" s="4"/>
      <c r="Q303" s="4"/>
      <c r="R303" s="4"/>
      <c r="S303" s="4"/>
      <c r="T303" s="4"/>
      <c r="U303" s="4"/>
      <c r="V303" s="4"/>
      <c r="W303" s="4"/>
    </row>
    <row r="304" spans="2:23">
      <c r="B304" s="2"/>
      <c r="D304" s="2"/>
      <c r="E304" s="4" t="s">
        <v>946</v>
      </c>
      <c r="F304" s="4"/>
      <c r="K304" s="4"/>
      <c r="L304" s="4"/>
      <c r="M304" s="4"/>
      <c r="N304" s="4"/>
      <c r="O304" s="4"/>
      <c r="P304" s="4"/>
      <c r="Q304" s="4"/>
      <c r="R304" s="4"/>
      <c r="S304" s="4"/>
      <c r="T304" s="4"/>
      <c r="U304" s="4"/>
      <c r="V304" s="4"/>
      <c r="W304" s="4"/>
    </row>
    <row r="305" spans="2:23">
      <c r="B305" s="2"/>
      <c r="D305" s="2"/>
      <c r="E305" s="4" t="s">
        <v>944</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612</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797</v>
      </c>
      <c r="F310" s="4"/>
      <c r="G310" s="4"/>
      <c r="I310" s="4"/>
      <c r="K310" s="4"/>
    </row>
    <row r="311" spans="2:23">
      <c r="B311" s="2"/>
      <c r="D311" s="2"/>
      <c r="E311" s="4" t="s">
        <v>947</v>
      </c>
      <c r="F311" s="4"/>
      <c r="G311" s="4"/>
      <c r="I311" s="4"/>
      <c r="K311" s="4"/>
    </row>
    <row r="312" spans="2:23">
      <c r="B312" s="2"/>
      <c r="D312" s="2"/>
      <c r="E312" s="4" t="s">
        <v>798</v>
      </c>
      <c r="F312" s="4"/>
      <c r="G312" s="4"/>
      <c r="I312" s="4"/>
      <c r="K312" s="4"/>
    </row>
    <row r="313" spans="2:23">
      <c r="B313" s="2"/>
      <c r="D313" s="2"/>
      <c r="G313" s="4"/>
      <c r="I313" s="4"/>
      <c r="K313" s="4"/>
    </row>
    <row r="314" spans="2:23">
      <c r="B314" s="2"/>
      <c r="D314" s="2" t="s">
        <v>341</v>
      </c>
      <c r="E314" s="2" t="s">
        <v>749</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572</v>
      </c>
      <c r="E317" s="170" t="s">
        <v>733</v>
      </c>
      <c r="F317" s="3"/>
      <c r="G317" s="4"/>
      <c r="H317" s="4"/>
      <c r="I317" s="4"/>
      <c r="J317" s="4"/>
      <c r="K317" s="4"/>
      <c r="L317" s="4"/>
      <c r="M317" s="4"/>
      <c r="N317" s="4"/>
      <c r="O317" s="4"/>
      <c r="P317" s="4"/>
      <c r="Q317" s="4"/>
      <c r="R317" s="4"/>
      <c r="S317" s="4"/>
    </row>
    <row r="318" spans="2:23">
      <c r="B318" s="2"/>
      <c r="E318" t="s">
        <v>730</v>
      </c>
      <c r="I318" s="4"/>
      <c r="J318" s="4"/>
      <c r="K318" s="4"/>
      <c r="L318" s="4"/>
      <c r="M318" s="4"/>
      <c r="N318" s="4"/>
      <c r="O318" s="4"/>
      <c r="P318" s="4"/>
      <c r="Q318" s="4"/>
      <c r="R318" s="4"/>
      <c r="S318" s="4"/>
    </row>
    <row r="319" spans="2:23">
      <c r="B319" s="2"/>
      <c r="E319" t="s">
        <v>731</v>
      </c>
      <c r="I319" s="4"/>
      <c r="J319" s="4"/>
      <c r="K319" s="4"/>
      <c r="L319" s="4"/>
      <c r="M319" s="4"/>
      <c r="N319" s="4"/>
      <c r="O319" s="4"/>
      <c r="P319" s="4"/>
      <c r="Q319" s="4"/>
      <c r="R319" s="4"/>
      <c r="S319" s="4"/>
    </row>
    <row r="320" spans="2:23">
      <c r="B320" s="2"/>
      <c r="E320" t="s">
        <v>732</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613</v>
      </c>
      <c r="I322" s="4"/>
      <c r="J322" s="4"/>
      <c r="K322" s="4"/>
      <c r="L322" s="4"/>
      <c r="M322" s="4"/>
      <c r="N322" s="4"/>
      <c r="O322" s="4"/>
      <c r="P322" s="4"/>
      <c r="Q322" s="4"/>
      <c r="R322" s="4"/>
      <c r="S322" s="4"/>
    </row>
    <row r="323" spans="1:38">
      <c r="A323" t="s">
        <v>250</v>
      </c>
      <c r="D323" s="2" t="s">
        <v>207</v>
      </c>
      <c r="E323" s="2" t="s">
        <v>613</v>
      </c>
      <c r="J323" s="2"/>
      <c r="K323" s="2"/>
      <c r="L323" s="2"/>
      <c r="M323" s="4"/>
      <c r="N323" s="4"/>
      <c r="O323" s="4"/>
      <c r="P323" s="4"/>
      <c r="Q323" s="4"/>
      <c r="R323" s="4"/>
      <c r="S323" s="4"/>
    </row>
    <row r="324" spans="1:38">
      <c r="E324" t="s">
        <v>112</v>
      </c>
      <c r="F324" s="4" t="s">
        <v>948</v>
      </c>
      <c r="J324" s="4"/>
      <c r="K324" s="4"/>
      <c r="L324" s="4"/>
      <c r="M324" s="4"/>
      <c r="N324" s="4"/>
      <c r="O324" s="4"/>
      <c r="P324" s="4"/>
      <c r="Q324" s="4"/>
      <c r="R324" s="4"/>
      <c r="S324" s="4"/>
    </row>
    <row r="325" spans="1:38">
      <c r="E325" s="4" t="s">
        <v>113</v>
      </c>
      <c r="F325" t="s">
        <v>734</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513</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737</v>
      </c>
      <c r="J333" s="4"/>
      <c r="K333" s="4"/>
      <c r="L333" s="4"/>
      <c r="M333" s="4"/>
      <c r="N333" s="4"/>
      <c r="O333" s="4"/>
      <c r="P333" s="4"/>
      <c r="Q333" s="4"/>
      <c r="R333" s="4"/>
      <c r="S333" s="4"/>
    </row>
    <row r="334" spans="1:38">
      <c r="B334" s="2"/>
      <c r="E334" s="4"/>
      <c r="F334" s="4" t="s">
        <v>738</v>
      </c>
      <c r="J334" s="4"/>
      <c r="K334" s="4"/>
      <c r="L334" s="4"/>
      <c r="M334" s="4"/>
      <c r="N334" s="4"/>
      <c r="O334" s="4"/>
      <c r="P334" s="4"/>
      <c r="Q334" s="4"/>
      <c r="R334" s="4"/>
      <c r="S334" s="4"/>
    </row>
    <row r="335" spans="1:38">
      <c r="B335" s="2"/>
      <c r="E335" s="4"/>
      <c r="F335" s="4" t="s">
        <v>739</v>
      </c>
      <c r="I335" s="4"/>
      <c r="J335" s="4"/>
      <c r="K335" s="4"/>
      <c r="L335" s="4"/>
      <c r="M335" s="4"/>
      <c r="N335" s="4"/>
      <c r="O335" s="4"/>
      <c r="P335" s="4"/>
      <c r="Q335" s="4"/>
      <c r="R335" s="4"/>
      <c r="S335" s="4"/>
    </row>
    <row r="336" spans="1:38">
      <c r="B336" s="2"/>
      <c r="E336" s="4" t="s">
        <v>113</v>
      </c>
      <c r="F336" s="1354" t="s">
        <v>1152</v>
      </c>
      <c r="G336" s="1354"/>
      <c r="H336" s="1354"/>
      <c r="I336" s="1354"/>
      <c r="J336" s="1354"/>
      <c r="K336" s="1354"/>
      <c r="L336" s="1354"/>
      <c r="M336" s="1354"/>
      <c r="N336" s="1354"/>
      <c r="O336" s="1354"/>
      <c r="P336" s="1354"/>
      <c r="Q336" s="1354"/>
      <c r="R336" s="1354"/>
      <c r="S336" s="1354"/>
      <c r="T336" s="1354"/>
      <c r="U336" s="1354"/>
      <c r="V336" s="1354"/>
      <c r="W336" s="1354"/>
      <c r="X336" s="1354"/>
      <c r="Y336" s="1354"/>
      <c r="Z336" s="1354"/>
      <c r="AA336" s="1354"/>
      <c r="AB336" s="1354"/>
      <c r="AC336" s="1354"/>
      <c r="AD336" s="1354"/>
      <c r="AE336" s="1354"/>
      <c r="AF336" s="1354"/>
      <c r="AG336" s="1354"/>
      <c r="AH336" s="1354"/>
      <c r="AI336" s="1354"/>
      <c r="AJ336" s="1354"/>
      <c r="AK336" s="1354"/>
    </row>
    <row r="337" spans="2:37">
      <c r="B337" s="2"/>
      <c r="E337" s="4"/>
      <c r="F337" s="1354"/>
      <c r="G337" s="1354"/>
      <c r="H337" s="1354"/>
      <c r="I337" s="1354"/>
      <c r="J337" s="1354"/>
      <c r="K337" s="1354"/>
      <c r="L337" s="1354"/>
      <c r="M337" s="1354"/>
      <c r="N337" s="1354"/>
      <c r="O337" s="1354"/>
      <c r="P337" s="1354"/>
      <c r="Q337" s="1354"/>
      <c r="R337" s="1354"/>
      <c r="S337" s="1354"/>
      <c r="T337" s="1354"/>
      <c r="U337" s="1354"/>
      <c r="V337" s="1354"/>
      <c r="W337" s="1354"/>
      <c r="X337" s="1354"/>
      <c r="Y337" s="1354"/>
      <c r="Z337" s="1354"/>
      <c r="AA337" s="1354"/>
      <c r="AB337" s="1354"/>
      <c r="AC337" s="1354"/>
      <c r="AD337" s="1354"/>
      <c r="AE337" s="1354"/>
      <c r="AF337" s="1354"/>
      <c r="AG337" s="1354"/>
      <c r="AH337" s="1354"/>
      <c r="AI337" s="1354"/>
      <c r="AJ337" s="1354"/>
      <c r="AK337" s="1354"/>
    </row>
    <row r="338" spans="2:37">
      <c r="B338" s="2"/>
      <c r="E338" s="4"/>
      <c r="F338" s="1354"/>
      <c r="G338" s="1354"/>
      <c r="H338" s="1354"/>
      <c r="I338" s="1354"/>
      <c r="J338" s="1354"/>
      <c r="K338" s="1354"/>
      <c r="L338" s="1354"/>
      <c r="M338" s="1354"/>
      <c r="N338" s="1354"/>
      <c r="O338" s="1354"/>
      <c r="P338" s="1354"/>
      <c r="Q338" s="1354"/>
      <c r="R338" s="1354"/>
      <c r="S338" s="1354"/>
      <c r="T338" s="1354"/>
      <c r="U338" s="1354"/>
      <c r="V338" s="1354"/>
      <c r="W338" s="1354"/>
      <c r="X338" s="1354"/>
      <c r="Y338" s="1354"/>
      <c r="Z338" s="1354"/>
      <c r="AA338" s="1354"/>
      <c r="AB338" s="1354"/>
      <c r="AC338" s="1354"/>
      <c r="AD338" s="1354"/>
      <c r="AE338" s="1354"/>
      <c r="AF338" s="1354"/>
      <c r="AG338" s="1354"/>
      <c r="AH338" s="1354"/>
      <c r="AI338" s="1354"/>
      <c r="AJ338" s="1354"/>
      <c r="AK338" s="1354"/>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2" customHeight="1">
      <c r="B341" s="2"/>
      <c r="E341" s="1357" t="s">
        <v>1232</v>
      </c>
      <c r="F341" s="1357"/>
      <c r="G341" s="1357"/>
      <c r="H341" s="1357"/>
      <c r="I341" s="1357"/>
      <c r="J341" s="1357"/>
      <c r="K341" s="1357"/>
      <c r="L341" s="1357"/>
      <c r="M341" s="1357"/>
      <c r="N341" s="1357"/>
      <c r="O341" s="1357"/>
      <c r="P341" s="1357"/>
      <c r="Q341" s="1357"/>
      <c r="R341" s="1357"/>
      <c r="S341" s="1357"/>
      <c r="T341" s="1357"/>
      <c r="U341" s="1357"/>
      <c r="V341" s="1357"/>
      <c r="W341" s="1357"/>
      <c r="X341" s="1357"/>
      <c r="Y341" s="1357"/>
      <c r="Z341" s="1357"/>
      <c r="AA341" s="1357"/>
      <c r="AB341" s="1357"/>
      <c r="AC341" s="1357"/>
      <c r="AD341" s="1357"/>
      <c r="AE341" s="1357"/>
      <c r="AF341" s="1357"/>
      <c r="AG341" s="1357"/>
      <c r="AH341" s="1357"/>
      <c r="AI341" s="1357"/>
      <c r="AJ341" s="1357"/>
      <c r="AK341" s="1357"/>
    </row>
    <row r="342" spans="2:37">
      <c r="B342" s="2"/>
      <c r="E342" s="1357"/>
      <c r="F342" s="1357"/>
      <c r="G342" s="1357"/>
      <c r="H342" s="1357"/>
      <c r="I342" s="1357"/>
      <c r="J342" s="1357"/>
      <c r="K342" s="1357"/>
      <c r="L342" s="1357"/>
      <c r="M342" s="1357"/>
      <c r="N342" s="1357"/>
      <c r="O342" s="1357"/>
      <c r="P342" s="1357"/>
      <c r="Q342" s="1357"/>
      <c r="R342" s="1357"/>
      <c r="S342" s="1357"/>
      <c r="T342" s="1357"/>
      <c r="U342" s="1357"/>
      <c r="V342" s="1357"/>
      <c r="W342" s="1357"/>
      <c r="X342" s="1357"/>
      <c r="Y342" s="1357"/>
      <c r="Z342" s="1357"/>
      <c r="AA342" s="1357"/>
      <c r="AB342" s="1357"/>
      <c r="AC342" s="1357"/>
      <c r="AD342" s="1357"/>
      <c r="AE342" s="1357"/>
      <c r="AF342" s="1357"/>
      <c r="AG342" s="1357"/>
      <c r="AH342" s="1357"/>
      <c r="AI342" s="1357"/>
      <c r="AJ342" s="1357"/>
      <c r="AK342" s="1357"/>
    </row>
    <row r="343" spans="2:37">
      <c r="B343" s="2"/>
      <c r="E343" s="1357"/>
      <c r="F343" s="1357"/>
      <c r="G343" s="1357"/>
      <c r="H343" s="1357"/>
      <c r="I343" s="1357"/>
      <c r="J343" s="1357"/>
      <c r="K343" s="1357"/>
      <c r="L343" s="1357"/>
      <c r="M343" s="1357"/>
      <c r="N343" s="1357"/>
      <c r="O343" s="1357"/>
      <c r="P343" s="1357"/>
      <c r="Q343" s="1357"/>
      <c r="R343" s="1357"/>
      <c r="S343" s="1357"/>
      <c r="T343" s="1357"/>
      <c r="U343" s="1357"/>
      <c r="V343" s="1357"/>
      <c r="W343" s="1357"/>
      <c r="X343" s="1357"/>
      <c r="Y343" s="1357"/>
      <c r="Z343" s="1357"/>
      <c r="AA343" s="1357"/>
      <c r="AB343" s="1357"/>
      <c r="AC343" s="1357"/>
      <c r="AD343" s="1357"/>
      <c r="AE343" s="1357"/>
      <c r="AF343" s="1357"/>
      <c r="AG343" s="1357"/>
      <c r="AH343" s="1357"/>
      <c r="AI343" s="1357"/>
      <c r="AJ343" s="1357"/>
      <c r="AK343" s="1357"/>
    </row>
    <row r="344" spans="2:37">
      <c r="B344" s="2"/>
      <c r="E344" s="1357"/>
      <c r="F344" s="1357"/>
      <c r="G344" s="1357"/>
      <c r="H344" s="1357"/>
      <c r="I344" s="1357"/>
      <c r="J344" s="1357"/>
      <c r="K344" s="1357"/>
      <c r="L344" s="1357"/>
      <c r="M344" s="1357"/>
      <c r="N344" s="1357"/>
      <c r="O344" s="1357"/>
      <c r="P344" s="1357"/>
      <c r="Q344" s="1357"/>
      <c r="R344" s="1357"/>
      <c r="S344" s="1357"/>
      <c r="T344" s="1357"/>
      <c r="U344" s="1357"/>
      <c r="V344" s="1357"/>
      <c r="W344" s="1357"/>
      <c r="X344" s="1357"/>
      <c r="Y344" s="1357"/>
      <c r="Z344" s="1357"/>
      <c r="AA344" s="1357"/>
      <c r="AB344" s="1357"/>
      <c r="AC344" s="1357"/>
      <c r="AD344" s="1357"/>
      <c r="AE344" s="1357"/>
      <c r="AF344" s="1357"/>
      <c r="AG344" s="1357"/>
      <c r="AH344" s="1357"/>
      <c r="AI344" s="1357"/>
      <c r="AJ344" s="1357"/>
      <c r="AK344" s="1357"/>
    </row>
    <row r="345" spans="2:37">
      <c r="B345" s="2"/>
      <c r="E345" s="1357"/>
      <c r="F345" s="1357"/>
      <c r="G345" s="1357"/>
      <c r="H345" s="1357"/>
      <c r="I345" s="1357"/>
      <c r="J345" s="1357"/>
      <c r="K345" s="1357"/>
      <c r="L345" s="1357"/>
      <c r="M345" s="1357"/>
      <c r="N345" s="1357"/>
      <c r="O345" s="1357"/>
      <c r="P345" s="1357"/>
      <c r="Q345" s="1357"/>
      <c r="R345" s="1357"/>
      <c r="S345" s="1357"/>
      <c r="T345" s="1357"/>
      <c r="U345" s="1357"/>
      <c r="V345" s="1357"/>
      <c r="W345" s="1357"/>
      <c r="X345" s="1357"/>
      <c r="Y345" s="1357"/>
      <c r="Z345" s="1357"/>
      <c r="AA345" s="1357"/>
      <c r="AB345" s="1357"/>
      <c r="AC345" s="1357"/>
      <c r="AD345" s="1357"/>
      <c r="AE345" s="1357"/>
      <c r="AF345" s="1357"/>
      <c r="AG345" s="1357"/>
      <c r="AH345" s="1357"/>
      <c r="AI345" s="1357"/>
      <c r="AJ345" s="1357"/>
      <c r="AK345" s="1357"/>
    </row>
    <row r="346" spans="2:37">
      <c r="B346" s="2"/>
      <c r="E346" s="3" t="s">
        <v>112</v>
      </c>
      <c r="F346" s="1354" t="s">
        <v>1234</v>
      </c>
      <c r="G346" s="1354"/>
      <c r="H346" s="1354"/>
      <c r="I346" s="1354"/>
      <c r="J346" s="1354"/>
      <c r="K346" s="1354"/>
      <c r="L346" s="1354"/>
      <c r="M346" s="1354"/>
      <c r="N346" s="1354"/>
      <c r="O346" s="1354"/>
      <c r="P346" s="1354"/>
      <c r="Q346" s="1354"/>
      <c r="R346" s="1354"/>
      <c r="S346" s="1354"/>
      <c r="T346" s="1354"/>
      <c r="U346" s="1354"/>
      <c r="V346" s="1354"/>
      <c r="W346" s="1354"/>
      <c r="X346" s="1354"/>
      <c r="Y346" s="1354"/>
      <c r="Z346" s="1354"/>
      <c r="AA346" s="1354"/>
      <c r="AB346" s="1354"/>
      <c r="AC346" s="1354"/>
      <c r="AD346" s="1354"/>
      <c r="AE346" s="1354"/>
      <c r="AF346" s="1354"/>
      <c r="AG346" s="1354"/>
      <c r="AH346" s="1354"/>
      <c r="AI346" s="1354"/>
      <c r="AJ346" s="1354"/>
      <c r="AK346" s="1354"/>
    </row>
    <row r="347" spans="2:37">
      <c r="B347" s="2"/>
      <c r="E347" s="3"/>
      <c r="F347" s="1354"/>
      <c r="G347" s="1354"/>
      <c r="H347" s="1354"/>
      <c r="I347" s="1354"/>
      <c r="J347" s="1354"/>
      <c r="K347" s="1354"/>
      <c r="L347" s="1354"/>
      <c r="M347" s="1354"/>
      <c r="N347" s="1354"/>
      <c r="O347" s="1354"/>
      <c r="P347" s="1354"/>
      <c r="Q347" s="1354"/>
      <c r="R347" s="1354"/>
      <c r="S347" s="1354"/>
      <c r="T347" s="1354"/>
      <c r="U347" s="1354"/>
      <c r="V347" s="1354"/>
      <c r="W347" s="1354"/>
      <c r="X347" s="1354"/>
      <c r="Y347" s="1354"/>
      <c r="Z347" s="1354"/>
      <c r="AA347" s="1354"/>
      <c r="AB347" s="1354"/>
      <c r="AC347" s="1354"/>
      <c r="AD347" s="1354"/>
      <c r="AE347" s="1354"/>
      <c r="AF347" s="1354"/>
      <c r="AG347" s="1354"/>
      <c r="AH347" s="1354"/>
      <c r="AI347" s="1354"/>
      <c r="AJ347" s="1354"/>
      <c r="AK347" s="1354"/>
    </row>
    <row r="348" spans="2:37">
      <c r="B348" s="2"/>
      <c r="E348" s="3"/>
      <c r="F348" s="1354"/>
      <c r="G348" s="1354"/>
      <c r="H348" s="1354"/>
      <c r="I348" s="1354"/>
      <c r="J348" s="1354"/>
      <c r="K348" s="1354"/>
      <c r="L348" s="1354"/>
      <c r="M348" s="1354"/>
      <c r="N348" s="1354"/>
      <c r="O348" s="1354"/>
      <c r="P348" s="1354"/>
      <c r="Q348" s="1354"/>
      <c r="R348" s="1354"/>
      <c r="S348" s="1354"/>
      <c r="T348" s="1354"/>
      <c r="U348" s="1354"/>
      <c r="V348" s="1354"/>
      <c r="W348" s="1354"/>
      <c r="X348" s="1354"/>
      <c r="Y348" s="1354"/>
      <c r="Z348" s="1354"/>
      <c r="AA348" s="1354"/>
      <c r="AB348" s="1354"/>
      <c r="AC348" s="1354"/>
      <c r="AD348" s="1354"/>
      <c r="AE348" s="1354"/>
      <c r="AF348" s="1354"/>
      <c r="AG348" s="1354"/>
      <c r="AH348" s="1354"/>
      <c r="AI348" s="1354"/>
      <c r="AJ348" s="1354"/>
      <c r="AK348" s="1354"/>
    </row>
    <row r="349" spans="2:37">
      <c r="B349" s="2"/>
      <c r="E349" s="3"/>
      <c r="F349" s="1354"/>
      <c r="G349" s="1354"/>
      <c r="H349" s="1354"/>
      <c r="I349" s="1354"/>
      <c r="J349" s="1354"/>
      <c r="K349" s="1354"/>
      <c r="L349" s="1354"/>
      <c r="M349" s="1354"/>
      <c r="N349" s="1354"/>
      <c r="O349" s="1354"/>
      <c r="P349" s="1354"/>
      <c r="Q349" s="1354"/>
      <c r="R349" s="1354"/>
      <c r="S349" s="1354"/>
      <c r="T349" s="1354"/>
      <c r="U349" s="1354"/>
      <c r="V349" s="1354"/>
      <c r="W349" s="1354"/>
      <c r="X349" s="1354"/>
      <c r="Y349" s="1354"/>
      <c r="Z349" s="1354"/>
      <c r="AA349" s="1354"/>
      <c r="AB349" s="1354"/>
      <c r="AC349" s="1354"/>
      <c r="AD349" s="1354"/>
      <c r="AE349" s="1354"/>
      <c r="AF349" s="1354"/>
      <c r="AG349" s="1354"/>
      <c r="AH349" s="1354"/>
      <c r="AI349" s="1354"/>
      <c r="AJ349" s="1354"/>
      <c r="AK349" s="1354"/>
    </row>
    <row r="350" spans="2:37">
      <c r="B350" s="2"/>
      <c r="E350" s="3" t="s">
        <v>113</v>
      </c>
      <c r="F350" s="1354" t="s">
        <v>1233</v>
      </c>
      <c r="G350" s="1354"/>
      <c r="H350" s="1354"/>
      <c r="I350" s="1354"/>
      <c r="J350" s="1354"/>
      <c r="K350" s="1354"/>
      <c r="L350" s="1354"/>
      <c r="M350" s="1354"/>
      <c r="N350" s="1354"/>
      <c r="O350" s="1354"/>
      <c r="P350" s="1354"/>
      <c r="Q350" s="1354"/>
      <c r="R350" s="1354"/>
      <c r="S350" s="1354"/>
      <c r="T350" s="1354"/>
      <c r="U350" s="1354"/>
      <c r="V350" s="1354"/>
      <c r="W350" s="1354"/>
      <c r="X350" s="1354"/>
      <c r="Y350" s="1354"/>
      <c r="Z350" s="1354"/>
      <c r="AA350" s="1354"/>
      <c r="AB350" s="1354"/>
      <c r="AC350" s="1354"/>
      <c r="AD350" s="1354"/>
      <c r="AE350" s="1354"/>
      <c r="AF350" s="1354"/>
      <c r="AG350" s="1354"/>
      <c r="AH350" s="1354"/>
      <c r="AI350" s="1354"/>
      <c r="AJ350" s="1354"/>
      <c r="AK350" s="1354"/>
    </row>
    <row r="351" spans="2:37">
      <c r="B351" s="2"/>
      <c r="F351" s="1354"/>
      <c r="G351" s="1354"/>
      <c r="H351" s="1354"/>
      <c r="I351" s="1354"/>
      <c r="J351" s="1354"/>
      <c r="K351" s="1354"/>
      <c r="L351" s="1354"/>
      <c r="M351" s="1354"/>
      <c r="N351" s="1354"/>
      <c r="O351" s="1354"/>
      <c r="P351" s="1354"/>
      <c r="Q351" s="1354"/>
      <c r="R351" s="1354"/>
      <c r="S351" s="1354"/>
      <c r="T351" s="1354"/>
      <c r="U351" s="1354"/>
      <c r="V351" s="1354"/>
      <c r="W351" s="1354"/>
      <c r="X351" s="1354"/>
      <c r="Y351" s="1354"/>
      <c r="Z351" s="1354"/>
      <c r="AA351" s="1354"/>
      <c r="AB351" s="1354"/>
      <c r="AC351" s="1354"/>
      <c r="AD351" s="1354"/>
      <c r="AE351" s="1354"/>
      <c r="AF351" s="1354"/>
      <c r="AG351" s="1354"/>
      <c r="AH351" s="1354"/>
      <c r="AI351" s="1354"/>
      <c r="AJ351" s="1354"/>
      <c r="AK351" s="1354"/>
    </row>
    <row r="352" spans="2:37">
      <c r="B352" s="2"/>
      <c r="F352" s="1354"/>
      <c r="G352" s="1354"/>
      <c r="H352" s="1354"/>
      <c r="I352" s="1354"/>
      <c r="J352" s="1354"/>
      <c r="K352" s="1354"/>
      <c r="L352" s="1354"/>
      <c r="M352" s="1354"/>
      <c r="N352" s="1354"/>
      <c r="O352" s="1354"/>
      <c r="P352" s="1354"/>
      <c r="Q352" s="1354"/>
      <c r="R352" s="1354"/>
      <c r="S352" s="1354"/>
      <c r="T352" s="1354"/>
      <c r="U352" s="1354"/>
      <c r="V352" s="1354"/>
      <c r="W352" s="1354"/>
      <c r="X352" s="1354"/>
      <c r="Y352" s="1354"/>
      <c r="Z352" s="1354"/>
      <c r="AA352" s="1354"/>
      <c r="AB352" s="1354"/>
      <c r="AC352" s="1354"/>
      <c r="AD352" s="1354"/>
      <c r="AE352" s="1354"/>
      <c r="AF352" s="1354"/>
      <c r="AG352" s="1354"/>
      <c r="AH352" s="1354"/>
      <c r="AI352" s="1354"/>
      <c r="AJ352" s="1354"/>
      <c r="AK352" s="1354"/>
    </row>
    <row r="353" spans="1:38">
      <c r="B353" s="2"/>
      <c r="F353" s="4"/>
      <c r="H353" s="4"/>
      <c r="I353" s="4"/>
      <c r="J353" s="4"/>
      <c r="K353" s="4"/>
      <c r="L353" s="4"/>
      <c r="M353" s="4"/>
      <c r="N353" s="4"/>
      <c r="O353" s="4"/>
      <c r="P353" s="4"/>
      <c r="Q353" s="4"/>
      <c r="R353" s="4"/>
      <c r="S353" s="4"/>
    </row>
    <row r="354" spans="1:38">
      <c r="A354" s="5"/>
      <c r="B354" s="11" t="s">
        <v>750</v>
      </c>
      <c r="C354" s="11" t="s">
        <v>614</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741</v>
      </c>
      <c r="I359" s="4"/>
      <c r="J359" s="4"/>
      <c r="K359" s="4"/>
      <c r="L359" s="4"/>
      <c r="M359" s="4"/>
      <c r="N359" s="4"/>
      <c r="O359" s="4"/>
      <c r="P359" s="4"/>
      <c r="Q359" s="4"/>
      <c r="R359" s="4"/>
      <c r="S359" s="4"/>
    </row>
    <row r="360" spans="1:38">
      <c r="B360" s="2"/>
      <c r="F360" s="4" t="s">
        <v>742</v>
      </c>
      <c r="I360" s="4"/>
      <c r="J360" s="4"/>
      <c r="K360" s="4"/>
      <c r="L360" s="4"/>
      <c r="M360" s="4"/>
      <c r="N360" s="4"/>
      <c r="O360" s="4"/>
      <c r="P360" s="4"/>
      <c r="Q360" s="4"/>
      <c r="R360" s="4"/>
      <c r="S360" s="4"/>
    </row>
    <row r="361" spans="1:38">
      <c r="B361" s="2"/>
      <c r="F361" s="4" t="s">
        <v>870</v>
      </c>
      <c r="G361" s="4"/>
      <c r="K361" s="4"/>
      <c r="L361" s="4"/>
      <c r="M361" s="4"/>
      <c r="N361" s="4"/>
      <c r="O361" s="4"/>
      <c r="P361" s="4"/>
      <c r="Q361" s="4"/>
      <c r="R361" s="4"/>
      <c r="S361" s="4"/>
    </row>
    <row r="362" spans="1:38">
      <c r="B362" s="2"/>
      <c r="E362" t="s">
        <v>113</v>
      </c>
      <c r="F362" s="4" t="s">
        <v>869</v>
      </c>
      <c r="I362" s="4"/>
      <c r="J362" s="4"/>
      <c r="K362" s="4"/>
      <c r="L362" s="4"/>
      <c r="M362" s="4"/>
      <c r="N362" s="4"/>
      <c r="O362" s="4"/>
      <c r="P362" s="4"/>
      <c r="Q362" s="4"/>
      <c r="R362" s="4"/>
      <c r="S362" s="4"/>
    </row>
    <row r="363" spans="1:38">
      <c r="B363" s="2"/>
      <c r="E363" t="s">
        <v>119</v>
      </c>
      <c r="F363" s="4" t="s">
        <v>743</v>
      </c>
      <c r="I363" s="4"/>
      <c r="J363" s="4"/>
      <c r="K363" s="4"/>
      <c r="L363" s="4"/>
      <c r="M363" s="4"/>
      <c r="N363" s="4"/>
      <c r="O363" s="4"/>
      <c r="P363" s="4"/>
      <c r="Q363" s="4"/>
      <c r="R363" s="4"/>
      <c r="S363" s="4"/>
    </row>
    <row r="364" spans="1:38">
      <c r="B364" s="2"/>
      <c r="F364" s="4" t="s">
        <v>744</v>
      </c>
      <c r="J364" s="4"/>
      <c r="K364" s="4"/>
      <c r="L364" s="4"/>
      <c r="M364" s="4"/>
      <c r="N364" s="4"/>
      <c r="O364" s="4"/>
      <c r="P364" s="4"/>
      <c r="Q364" s="4"/>
      <c r="R364" s="4"/>
      <c r="S364" s="4"/>
    </row>
    <row r="365" spans="1:38">
      <c r="B365" s="2"/>
      <c r="E365" s="1358" t="s">
        <v>1223</v>
      </c>
      <c r="F365" s="1358"/>
      <c r="G365" s="1358"/>
      <c r="H365" s="1358"/>
      <c r="I365" s="1358"/>
      <c r="J365" s="1358"/>
      <c r="K365" s="1358"/>
      <c r="L365" s="1358"/>
      <c r="M365" s="1358"/>
      <c r="N365" s="1358"/>
      <c r="O365" s="1358"/>
      <c r="P365" s="1358"/>
      <c r="Q365" s="1358"/>
      <c r="R365" s="1358"/>
      <c r="S365" s="1358"/>
      <c r="T365" s="1358"/>
      <c r="U365" s="1358"/>
      <c r="V365" s="1358"/>
      <c r="W365" s="1358"/>
      <c r="X365" s="1358"/>
      <c r="Y365" s="1358"/>
      <c r="Z365" s="1358"/>
      <c r="AA365" s="1358"/>
      <c r="AB365" s="1358"/>
      <c r="AC365" s="1358"/>
      <c r="AD365" s="1358"/>
      <c r="AE365" s="1358"/>
      <c r="AF365" s="1358"/>
      <c r="AG365" s="1358"/>
      <c r="AH365" s="1358"/>
      <c r="AI365" s="1358"/>
      <c r="AJ365" s="1358"/>
      <c r="AK365" s="1358"/>
      <c r="AL365" s="1358"/>
    </row>
    <row r="366" spans="1:38">
      <c r="B366" s="2"/>
      <c r="E366" s="1358"/>
      <c r="F366" s="1358"/>
      <c r="G366" s="1358"/>
      <c r="H366" s="1358"/>
      <c r="I366" s="1358"/>
      <c r="J366" s="1358"/>
      <c r="K366" s="1358"/>
      <c r="L366" s="1358"/>
      <c r="M366" s="1358"/>
      <c r="N366" s="1358"/>
      <c r="O366" s="1358"/>
      <c r="P366" s="1358"/>
      <c r="Q366" s="1358"/>
      <c r="R366" s="1358"/>
      <c r="S366" s="1358"/>
      <c r="T366" s="1358"/>
      <c r="U366" s="1358"/>
      <c r="V366" s="1358"/>
      <c r="W366" s="1358"/>
      <c r="X366" s="1358"/>
      <c r="Y366" s="1358"/>
      <c r="Z366" s="1358"/>
      <c r="AA366" s="1358"/>
      <c r="AB366" s="1358"/>
      <c r="AC366" s="1358"/>
      <c r="AD366" s="1358"/>
      <c r="AE366" s="1358"/>
      <c r="AF366" s="1358"/>
      <c r="AG366" s="1358"/>
      <c r="AH366" s="1358"/>
      <c r="AI366" s="1358"/>
      <c r="AJ366" s="1358"/>
      <c r="AK366" s="1358"/>
      <c r="AL366" s="1358"/>
    </row>
    <row r="367" spans="1:38" s="1360" customFormat="1">
      <c r="A367"/>
      <c r="B367" s="2"/>
      <c r="C367"/>
      <c r="D367"/>
      <c r="E367" s="1359" t="s">
        <v>1255</v>
      </c>
    </row>
    <row r="368" spans="1:38" s="1360"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566</v>
      </c>
      <c r="J370" s="4"/>
      <c r="K370" s="4"/>
      <c r="L370" s="4"/>
      <c r="M370" s="4"/>
      <c r="N370" s="4"/>
      <c r="O370" s="4"/>
      <c r="P370" s="4"/>
      <c r="Q370" s="4"/>
      <c r="R370" s="4"/>
      <c r="S370" s="4"/>
    </row>
    <row r="371" spans="1:38">
      <c r="B371" s="2"/>
      <c r="E371" s="4" t="s">
        <v>745</v>
      </c>
      <c r="F371" s="4"/>
      <c r="G371" s="4"/>
      <c r="H371" s="4"/>
      <c r="I371" s="4"/>
      <c r="J371" s="4"/>
      <c r="K371" s="4"/>
      <c r="L371" s="4"/>
      <c r="M371" s="4"/>
      <c r="N371" s="4"/>
      <c r="O371" s="4"/>
      <c r="P371" s="4"/>
      <c r="Q371" s="4"/>
      <c r="R371" s="4"/>
      <c r="S371" s="4"/>
    </row>
    <row r="372" spans="1:38">
      <c r="B372" s="2"/>
      <c r="E372" s="4" t="s">
        <v>746</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572</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512</v>
      </c>
      <c r="E379" s="2" t="s">
        <v>1256</v>
      </c>
      <c r="J379" s="3"/>
      <c r="K379" s="3"/>
      <c r="L379" s="3"/>
      <c r="M379" s="3"/>
      <c r="N379" s="3"/>
      <c r="O379" s="3"/>
      <c r="P379" s="3"/>
      <c r="Q379" s="3"/>
      <c r="R379" s="3"/>
      <c r="S379" s="3"/>
    </row>
    <row r="380" spans="1:38">
      <c r="B380" s="2"/>
      <c r="D380" s="2"/>
      <c r="E380" s="3" t="s">
        <v>745</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354" t="s">
        <v>1266</v>
      </c>
      <c r="G386" s="1354"/>
      <c r="H386" s="1354"/>
      <c r="I386" s="1354"/>
      <c r="J386" s="1354"/>
      <c r="K386" s="1354"/>
      <c r="L386" s="1354"/>
      <c r="M386" s="1354"/>
      <c r="N386" s="1354"/>
      <c r="O386" s="1354"/>
      <c r="P386" s="1354"/>
      <c r="Q386" s="1354"/>
      <c r="R386" s="1354"/>
      <c r="S386" s="1354"/>
      <c r="T386" s="1354"/>
      <c r="U386" s="1354"/>
      <c r="V386" s="1354"/>
      <c r="W386" s="1354"/>
      <c r="X386" s="1354"/>
      <c r="Y386" s="1354"/>
      <c r="Z386" s="1354"/>
      <c r="AA386" s="1354"/>
      <c r="AB386" s="1354"/>
      <c r="AC386" s="1354"/>
      <c r="AD386" s="1354"/>
      <c r="AE386" s="1354"/>
      <c r="AF386" s="1354"/>
      <c r="AG386" s="1354"/>
      <c r="AH386" s="1354"/>
      <c r="AI386" s="1354"/>
      <c r="AJ386" s="1354"/>
      <c r="AK386" s="1354"/>
    </row>
    <row r="387" spans="1:38">
      <c r="B387" s="2"/>
      <c r="E387" s="3"/>
      <c r="F387" s="1354"/>
      <c r="G387" s="1354"/>
      <c r="H387" s="1354"/>
      <c r="I387" s="1354"/>
      <c r="J387" s="1354"/>
      <c r="K387" s="1354"/>
      <c r="L387" s="1354"/>
      <c r="M387" s="1354"/>
      <c r="N387" s="1354"/>
      <c r="O387" s="1354"/>
      <c r="P387" s="1354"/>
      <c r="Q387" s="1354"/>
      <c r="R387" s="1354"/>
      <c r="S387" s="1354"/>
      <c r="T387" s="1354"/>
      <c r="U387" s="1354"/>
      <c r="V387" s="1354"/>
      <c r="W387" s="1354"/>
      <c r="X387" s="1354"/>
      <c r="Y387" s="1354"/>
      <c r="Z387" s="1354"/>
      <c r="AA387" s="1354"/>
      <c r="AB387" s="1354"/>
      <c r="AC387" s="1354"/>
      <c r="AD387" s="1354"/>
      <c r="AE387" s="1354"/>
      <c r="AF387" s="1354"/>
      <c r="AG387" s="1354"/>
      <c r="AH387" s="1354"/>
      <c r="AI387" s="1354"/>
      <c r="AJ387" s="1354"/>
      <c r="AK387" s="1354"/>
    </row>
    <row r="388" spans="1:38">
      <c r="B388" s="2"/>
      <c r="E388" s="3"/>
      <c r="F388" s="1354"/>
      <c r="G388" s="1354"/>
      <c r="H388" s="1354"/>
      <c r="I388" s="1354"/>
      <c r="J388" s="1354"/>
      <c r="K388" s="1354"/>
      <c r="L388" s="1354"/>
      <c r="M388" s="1354"/>
      <c r="N388" s="1354"/>
      <c r="O388" s="1354"/>
      <c r="P388" s="1354"/>
      <c r="Q388" s="1354"/>
      <c r="R388" s="1354"/>
      <c r="S388" s="1354"/>
      <c r="T388" s="1354"/>
      <c r="U388" s="1354"/>
      <c r="V388" s="1354"/>
      <c r="W388" s="1354"/>
      <c r="X388" s="1354"/>
      <c r="Y388" s="1354"/>
      <c r="Z388" s="1354"/>
      <c r="AA388" s="1354"/>
      <c r="AB388" s="1354"/>
      <c r="AC388" s="1354"/>
      <c r="AD388" s="1354"/>
      <c r="AE388" s="1354"/>
      <c r="AF388" s="1354"/>
      <c r="AG388" s="1354"/>
      <c r="AH388" s="1354"/>
      <c r="AI388" s="1354"/>
      <c r="AJ388" s="1354"/>
      <c r="AK388" s="1354"/>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2"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5" customHeight="1" zeroHeight="1"/>
  <cols>
    <col min="1" max="10" width="10.6640625" style="398" customWidth="1"/>
    <col min="11" max="16384" width="8.88671875" style="398" hidden="1"/>
  </cols>
  <sheetData>
    <row r="1" spans="1:10" ht="15.6">
      <c r="A1" s="1366" t="s">
        <v>1835</v>
      </c>
      <c r="B1" s="1367"/>
      <c r="C1" s="1367"/>
      <c r="D1" s="1367"/>
      <c r="E1" s="1367"/>
      <c r="F1" s="1367"/>
      <c r="G1" s="1367"/>
      <c r="H1" s="1367"/>
      <c r="I1" s="1367"/>
      <c r="J1" s="1367"/>
    </row>
    <row r="2" spans="1:10" ht="15">
      <c r="A2" s="1370" t="s">
        <v>1265</v>
      </c>
      <c r="B2" s="1371"/>
      <c r="C2" s="1371"/>
      <c r="D2" s="1371"/>
      <c r="E2" s="1371"/>
      <c r="F2" s="1371"/>
      <c r="G2" s="1371"/>
      <c r="H2" s="1371"/>
      <c r="I2" s="1371"/>
      <c r="J2" s="1371"/>
    </row>
    <row r="3" spans="1:10" ht="13.2"/>
    <row r="4" spans="1:10" ht="12.75" customHeight="1">
      <c r="A4" s="1368" t="s">
        <v>1998</v>
      </c>
      <c r="B4" s="1368"/>
      <c r="C4" s="1368"/>
      <c r="D4" s="1368"/>
      <c r="E4" s="1368"/>
      <c r="F4" s="1368"/>
      <c r="G4" s="1368"/>
      <c r="H4" s="1368"/>
      <c r="I4" s="1368"/>
      <c r="J4" s="1368"/>
    </row>
    <row r="5" spans="1:10" ht="13.2">
      <c r="A5" s="1368"/>
      <c r="B5" s="1368"/>
      <c r="C5" s="1368"/>
      <c r="D5" s="1368"/>
      <c r="E5" s="1368"/>
      <c r="F5" s="1368"/>
      <c r="G5" s="1368"/>
      <c r="H5" s="1368"/>
      <c r="I5" s="1368"/>
      <c r="J5" s="1368"/>
    </row>
    <row r="6" spans="1:10" ht="30" customHeight="1">
      <c r="A6" s="1368"/>
      <c r="B6" s="1368"/>
      <c r="C6" s="1368"/>
      <c r="D6" s="1368"/>
      <c r="E6" s="1368"/>
      <c r="F6" s="1368"/>
      <c r="G6" s="1368"/>
      <c r="H6" s="1368"/>
      <c r="I6" s="1368"/>
      <c r="J6" s="1368"/>
    </row>
    <row r="7" spans="1:10" ht="13.2">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3.2"/>
    <row r="10" spans="1:10" ht="12.75" customHeight="1">
      <c r="A10" s="1372" t="s">
        <v>1840</v>
      </c>
      <c r="B10" s="1372"/>
      <c r="C10" s="1372"/>
      <c r="D10" s="1372"/>
      <c r="E10" s="1372"/>
      <c r="F10" s="1372"/>
      <c r="G10" s="1372"/>
      <c r="H10" s="1372"/>
      <c r="I10" s="1372"/>
      <c r="J10" s="1372"/>
    </row>
    <row r="11" spans="1:10" ht="13.2">
      <c r="A11" s="1372"/>
      <c r="B11" s="1372"/>
      <c r="C11" s="1372"/>
      <c r="D11" s="1372"/>
      <c r="E11" s="1372"/>
      <c r="F11" s="1372"/>
      <c r="G11" s="1372"/>
      <c r="H11" s="1372"/>
      <c r="I11" s="1372"/>
      <c r="J11" s="1372"/>
    </row>
    <row r="12" spans="1:10" ht="13.2">
      <c r="A12" s="1372"/>
      <c r="B12" s="1372"/>
      <c r="C12" s="1372"/>
      <c r="D12" s="1372"/>
      <c r="E12" s="1372"/>
      <c r="F12" s="1372"/>
      <c r="G12" s="1372"/>
      <c r="H12" s="1372"/>
      <c r="I12" s="1372"/>
      <c r="J12" s="1372"/>
    </row>
    <row r="13" spans="1:10" ht="13.2">
      <c r="A13" s="1372"/>
      <c r="B13" s="1372"/>
      <c r="C13" s="1372"/>
      <c r="D13" s="1372"/>
      <c r="E13" s="1372"/>
      <c r="F13" s="1372"/>
      <c r="G13" s="1372"/>
      <c r="H13" s="1372"/>
      <c r="I13" s="1372"/>
      <c r="J13" s="1372"/>
    </row>
    <row r="14" spans="1:10" ht="13.2">
      <c r="A14" s="1372"/>
      <c r="B14" s="1372"/>
      <c r="C14" s="1372"/>
      <c r="D14" s="1372"/>
      <c r="E14" s="1372"/>
      <c r="F14" s="1372"/>
      <c r="G14" s="1372"/>
      <c r="H14" s="1372"/>
      <c r="I14" s="1372"/>
      <c r="J14" s="1372"/>
    </row>
    <row r="15" spans="1:10" ht="13.2">
      <c r="A15" s="1372"/>
      <c r="B15" s="1372"/>
      <c r="C15" s="1372"/>
      <c r="D15" s="1372"/>
      <c r="E15" s="1372"/>
      <c r="F15" s="1372"/>
      <c r="G15" s="1372"/>
      <c r="H15" s="1372"/>
      <c r="I15" s="1372"/>
      <c r="J15" s="1372"/>
    </row>
    <row r="16" spans="1:10" ht="13.2">
      <c r="A16" s="520"/>
      <c r="B16" s="520"/>
      <c r="C16" s="520"/>
      <c r="D16" s="520"/>
      <c r="E16" s="520"/>
      <c r="F16" s="520"/>
      <c r="G16" s="520"/>
      <c r="H16" s="520"/>
      <c r="I16" s="520"/>
      <c r="J16" s="520"/>
    </row>
    <row r="17" spans="1:10" ht="13.2">
      <c r="A17" s="472" t="s">
        <v>1839</v>
      </c>
      <c r="B17" s="412"/>
      <c r="C17" s="412"/>
      <c r="D17" s="412"/>
      <c r="E17" s="412"/>
      <c r="F17" s="412"/>
      <c r="G17" s="412"/>
      <c r="H17" s="412"/>
      <c r="I17" s="412"/>
      <c r="J17" s="412"/>
    </row>
    <row r="18" spans="1:10" ht="13.2">
      <c r="A18" s="412" t="s">
        <v>250</v>
      </c>
      <c r="B18" s="412"/>
      <c r="C18" s="412"/>
      <c r="D18" s="412"/>
      <c r="E18" s="412"/>
      <c r="F18" s="412"/>
      <c r="G18" s="412"/>
      <c r="H18" s="412"/>
      <c r="I18" s="412"/>
      <c r="J18" s="412"/>
    </row>
    <row r="19" spans="1:10" ht="13.2">
      <c r="A19" s="1371" t="s">
        <v>1186</v>
      </c>
      <c r="B19" s="1371"/>
      <c r="C19" s="1371"/>
      <c r="D19" s="1371"/>
      <c r="E19" s="1371"/>
    </row>
    <row r="20" spans="1:10" ht="13.2"/>
    <row r="21" spans="1:10" ht="13.2"/>
    <row r="22" spans="1:10" ht="13.2"/>
    <row r="23" spans="1:10" ht="13.2"/>
    <row r="24" spans="1:10" ht="13.2"/>
    <row r="25" spans="1:10" ht="13.2"/>
    <row r="26" spans="1:10" ht="13.2"/>
    <row r="27" spans="1:10" ht="13.2"/>
    <row r="28" spans="1:10" ht="13.2"/>
    <row r="29" spans="1:10" ht="13.2"/>
    <row r="30" spans="1:10" ht="13.2"/>
    <row r="31" spans="1:10" ht="13.2"/>
    <row r="32" spans="1:10" ht="13.2"/>
    <row r="33" ht="13.2"/>
    <row r="34" ht="13.2"/>
    <row r="35" ht="13.2"/>
    <row r="36" ht="13.2"/>
    <row r="37" ht="13.2"/>
    <row r="38" ht="13.2"/>
    <row r="39" ht="13.2"/>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spans="1:10" ht="13.2"/>
    <row r="66" spans="1:10" ht="13.2"/>
    <row r="67" spans="1:10" ht="13.2"/>
    <row r="68" spans="1:10" ht="13.2"/>
    <row r="69" spans="1:10" ht="13.2"/>
    <row r="70" spans="1:10" ht="13.2"/>
    <row r="71" spans="1:10" ht="13.2"/>
    <row r="72" spans="1:10" ht="13.2"/>
    <row r="73" spans="1:10" ht="13.2"/>
    <row r="74" spans="1:10" ht="13.2"/>
    <row r="75" spans="1:10" ht="13.2"/>
    <row r="76" spans="1:10" ht="13.2">
      <c r="A76" s="1368" t="s">
        <v>1187</v>
      </c>
      <c r="B76" s="1368"/>
      <c r="C76" s="1368"/>
      <c r="D76" s="1368"/>
      <c r="E76" s="1368"/>
      <c r="F76" s="1368"/>
      <c r="G76" s="1368"/>
      <c r="H76" s="1368"/>
      <c r="I76" s="1368"/>
      <c r="J76" s="1368"/>
    </row>
    <row r="77" spans="1:10" ht="13.2">
      <c r="A77" s="1368"/>
      <c r="B77" s="1368"/>
      <c r="C77" s="1368"/>
      <c r="D77" s="1368"/>
      <c r="E77" s="1368"/>
      <c r="F77" s="1368"/>
      <c r="G77" s="1368"/>
      <c r="H77" s="1368"/>
      <c r="I77" s="1368"/>
      <c r="J77" s="1368"/>
    </row>
    <row r="78" spans="1:10" ht="13.2">
      <c r="A78" s="1368"/>
      <c r="B78" s="1368"/>
      <c r="C78" s="1368"/>
      <c r="D78" s="1368"/>
      <c r="E78" s="1368"/>
      <c r="F78" s="1368"/>
      <c r="G78" s="1368"/>
      <c r="H78" s="1368"/>
      <c r="I78" s="1368"/>
      <c r="J78" s="1368"/>
    </row>
    <row r="79" spans="1:10" ht="13.2"/>
    <row r="80" spans="1:10" ht="13.2">
      <c r="A80" s="398" t="s">
        <v>1186</v>
      </c>
    </row>
    <row r="81" spans="1:9" ht="13.2"/>
    <row r="82" spans="1:9" ht="13.2"/>
    <row r="83" spans="1:9" ht="13.2"/>
    <row r="84" spans="1:9" ht="13.2"/>
    <row r="85" spans="1:9" ht="13.2"/>
    <row r="86" spans="1:9" ht="13.2"/>
    <row r="87" spans="1:9" ht="13.2"/>
    <row r="88" spans="1:9" ht="13.2"/>
    <row r="89" spans="1:9" ht="13.2">
      <c r="A89" s="1369" t="s">
        <v>1836</v>
      </c>
      <c r="B89" s="1369"/>
      <c r="C89" s="1369"/>
      <c r="D89" s="1369"/>
      <c r="E89" s="1369"/>
      <c r="F89" s="1369"/>
      <c r="G89" s="1369"/>
      <c r="H89" s="1369"/>
      <c r="I89" s="1369"/>
    </row>
    <row r="90" spans="1:9" ht="13.2">
      <c r="A90" s="1361" t="s">
        <v>1996</v>
      </c>
      <c r="B90" s="1361"/>
      <c r="C90" s="1361"/>
      <c r="D90" s="1361"/>
      <c r="E90" s="1361"/>
    </row>
    <row r="91" spans="1:9" ht="13.2">
      <c r="A91" s="1361" t="s">
        <v>1997</v>
      </c>
      <c r="B91" s="1361"/>
      <c r="C91" s="1361"/>
      <c r="D91" s="1361"/>
      <c r="E91" s="1361"/>
    </row>
    <row r="92" spans="1:9" ht="13.2">
      <c r="A92" s="1361" t="s">
        <v>1837</v>
      </c>
      <c r="B92" s="1361"/>
      <c r="C92" s="1361"/>
      <c r="D92" s="1361"/>
      <c r="E92" s="1361"/>
    </row>
    <row r="93" spans="1:9" ht="13.2"/>
    <row r="94" spans="1:9" ht="13.2" hidden="1"/>
    <row r="95" spans="1:9" ht="13.2"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7620</xdr:colOff>
                <xdr:row>77</xdr:row>
                <xdr:rowOff>99060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topLeftCell="A213" workbookViewId="0">
      <selection activeCell="D207" sqref="D207:F210"/>
    </sheetView>
  </sheetViews>
  <sheetFormatPr defaultColWidth="0" defaultRowHeight="13.2"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09375" style="400" customWidth="1"/>
    <col min="10" max="13" width="8.88671875" style="398" hidden="1" customWidth="1"/>
    <col min="14" max="16384" width="0" style="398" hidden="1"/>
  </cols>
  <sheetData>
    <row r="1" spans="1:13"/>
    <row r="2" spans="1:13">
      <c r="A2" s="1423" t="s">
        <v>2593</v>
      </c>
      <c r="B2" s="1423"/>
      <c r="C2" s="1423"/>
      <c r="D2" s="1423"/>
      <c r="E2" s="1423"/>
      <c r="F2" s="1423"/>
      <c r="G2" s="1423"/>
      <c r="H2" s="1423"/>
      <c r="I2" s="1423"/>
    </row>
    <row r="3" spans="1:13">
      <c r="A3" s="1414" t="s">
        <v>2165</v>
      </c>
      <c r="B3" s="1414"/>
      <c r="C3" s="1414"/>
      <c r="D3" s="1414"/>
      <c r="E3" s="1414"/>
      <c r="F3" s="1414"/>
      <c r="G3" s="1414"/>
      <c r="H3" s="1414"/>
      <c r="I3" s="1414"/>
    </row>
    <row r="4" spans="1:13">
      <c r="A4" s="1414"/>
      <c r="B4" s="1414"/>
      <c r="C4" s="1371"/>
      <c r="D4" s="1371"/>
      <c r="E4" s="1371"/>
      <c r="F4" s="1371"/>
      <c r="G4" s="1371"/>
    </row>
    <row r="5" spans="1:13">
      <c r="A5" s="1414"/>
      <c r="B5" s="1414"/>
      <c r="C5" s="1371"/>
      <c r="D5" s="1371"/>
      <c r="E5" s="1371"/>
      <c r="F5" s="1371"/>
      <c r="G5" s="1371"/>
    </row>
    <row r="6" spans="1:13" ht="12.75" customHeight="1">
      <c r="A6" s="1417" t="s">
        <v>2164</v>
      </c>
      <c r="B6" s="1417"/>
      <c r="C6" s="1417"/>
      <c r="D6" s="1417"/>
      <c r="E6" s="1417"/>
      <c r="F6" s="1417"/>
      <c r="G6" s="1417"/>
      <c r="I6" s="486"/>
    </row>
    <row r="7" spans="1:13">
      <c r="A7" s="1417"/>
      <c r="B7" s="1417"/>
      <c r="C7" s="1417"/>
      <c r="D7" s="1417"/>
      <c r="E7" s="1417"/>
      <c r="F7" s="1417"/>
      <c r="G7" s="1417"/>
      <c r="I7" s="486"/>
    </row>
    <row r="8" spans="1:13">
      <c r="A8" s="477"/>
      <c r="B8" s="477"/>
      <c r="C8" s="478"/>
      <c r="D8" s="478"/>
      <c r="E8" s="478"/>
      <c r="F8" s="478"/>
    </row>
    <row r="9" spans="1:13">
      <c r="A9" s="1340" t="s">
        <v>1099</v>
      </c>
      <c r="B9" s="1340"/>
      <c r="C9" s="1340"/>
      <c r="D9" s="1340"/>
      <c r="E9" s="1340"/>
      <c r="F9" s="1340"/>
      <c r="G9" s="1340"/>
      <c r="H9" s="1018"/>
      <c r="I9" s="1019"/>
    </row>
    <row r="10" spans="1:13">
      <c r="A10" s="478"/>
      <c r="B10" s="478"/>
      <c r="E10" s="400"/>
    </row>
    <row r="11" spans="1:13" ht="13.65" customHeight="1">
      <c r="C11" s="478"/>
      <c r="D11" s="1416" t="s">
        <v>1098</v>
      </c>
      <c r="E11" s="1416"/>
      <c r="F11" s="1416"/>
    </row>
    <row r="12" spans="1:13">
      <c r="C12" s="478"/>
      <c r="D12" s="1416"/>
      <c r="E12" s="1416"/>
      <c r="F12" s="1416"/>
    </row>
    <row r="13" spans="1:13">
      <c r="A13" s="479"/>
      <c r="B13" s="479"/>
      <c r="C13" s="479"/>
      <c r="D13" s="1395" t="s">
        <v>1088</v>
      </c>
      <c r="E13" s="1395"/>
      <c r="F13" s="1395"/>
      <c r="M13" s="96"/>
    </row>
    <row r="14" spans="1:13">
      <c r="A14" s="479"/>
      <c r="B14" s="479"/>
      <c r="C14" s="479"/>
      <c r="D14" s="472"/>
      <c r="L14" s="312"/>
    </row>
    <row r="15" spans="1:13" ht="14.4">
      <c r="A15" s="480"/>
      <c r="B15" s="481" t="s">
        <v>2824</v>
      </c>
      <c r="C15" s="479"/>
      <c r="D15" s="1394" t="s">
        <v>1887</v>
      </c>
      <c r="E15" s="1394"/>
      <c r="F15" s="1394"/>
      <c r="I15" s="486"/>
    </row>
    <row r="16" spans="1:13">
      <c r="A16" s="479"/>
      <c r="B16" s="479"/>
      <c r="C16" s="479"/>
      <c r="D16" s="1394"/>
      <c r="E16" s="1394"/>
      <c r="F16" s="1394"/>
      <c r="I16" s="486"/>
    </row>
    <row r="17" spans="1:9">
      <c r="A17" s="479"/>
      <c r="B17" s="479"/>
      <c r="C17" s="479"/>
      <c r="D17" s="1394"/>
      <c r="E17" s="1394"/>
      <c r="F17" s="1394"/>
      <c r="I17" s="486"/>
    </row>
    <row r="18" spans="1:9">
      <c r="A18" s="479"/>
      <c r="B18" s="479"/>
      <c r="C18" s="479"/>
      <c r="D18" s="441"/>
      <c r="E18" s="312" t="s">
        <v>1885</v>
      </c>
      <c r="F18" s="441"/>
      <c r="I18" s="486"/>
    </row>
    <row r="19" spans="1:9">
      <c r="A19" s="479"/>
      <c r="B19" s="479"/>
      <c r="C19" s="479"/>
      <c r="I19" s="486"/>
    </row>
    <row r="20" spans="1:9" ht="14.4">
      <c r="A20" s="480"/>
      <c r="B20" s="481" t="s">
        <v>2824</v>
      </c>
      <c r="D20" s="1394" t="s">
        <v>1888</v>
      </c>
      <c r="E20" s="1394"/>
      <c r="F20" s="1394"/>
      <c r="I20" s="486"/>
    </row>
    <row r="21" spans="1:9" ht="14.4">
      <c r="A21" s="480"/>
      <c r="D21" s="1394"/>
      <c r="E21" s="1394"/>
      <c r="F21" s="1394"/>
      <c r="I21" s="486"/>
    </row>
    <row r="22" spans="1:9" ht="14.4">
      <c r="A22" s="480"/>
      <c r="D22" s="388"/>
      <c r="E22" s="96" t="s">
        <v>1884</v>
      </c>
      <c r="F22" s="388"/>
      <c r="I22" s="486"/>
    </row>
    <row r="23" spans="1:9" ht="14.4">
      <c r="A23" s="480"/>
      <c r="B23" s="480"/>
      <c r="D23" s="442"/>
      <c r="I23" s="486"/>
    </row>
    <row r="24" spans="1:9" ht="14.4">
      <c r="A24" s="480"/>
      <c r="B24" s="481" t="s">
        <v>2825</v>
      </c>
      <c r="D24" s="1394" t="s">
        <v>1089</v>
      </c>
      <c r="E24" s="1394"/>
      <c r="F24" s="1394"/>
      <c r="I24" s="486"/>
    </row>
    <row r="25" spans="1:9" ht="14.4">
      <c r="A25" s="480"/>
      <c r="B25" s="480"/>
      <c r="D25" s="1394"/>
      <c r="E25" s="1394"/>
      <c r="F25" s="1394"/>
      <c r="I25" s="486"/>
    </row>
    <row r="26" spans="1:9">
      <c r="I26" s="486"/>
    </row>
    <row r="27" spans="1:9" ht="14.4">
      <c r="A27" s="480"/>
      <c r="B27" s="481" t="s">
        <v>2824</v>
      </c>
      <c r="D27" s="1394" t="s">
        <v>1999</v>
      </c>
      <c r="E27" s="1394"/>
      <c r="F27" s="1394"/>
      <c r="I27" s="486"/>
    </row>
    <row r="28" spans="1:9">
      <c r="D28" s="1394"/>
      <c r="E28" s="1394"/>
      <c r="F28" s="1394"/>
      <c r="I28" s="486"/>
    </row>
    <row r="29" spans="1:9">
      <c r="D29" s="1394"/>
      <c r="E29" s="1394"/>
      <c r="F29" s="1394"/>
      <c r="I29" s="486"/>
    </row>
    <row r="30" spans="1:9">
      <c r="D30" s="1394"/>
      <c r="E30" s="1394"/>
      <c r="F30" s="1394"/>
      <c r="I30" s="486"/>
    </row>
    <row r="31" spans="1:9">
      <c r="D31" s="1394"/>
      <c r="E31" s="1394"/>
      <c r="F31" s="1394"/>
      <c r="I31" s="486"/>
    </row>
    <row r="32" spans="1:9">
      <c r="D32" s="443"/>
      <c r="I32" s="486"/>
    </row>
    <row r="33" spans="1:9">
      <c r="B33" s="481" t="s">
        <v>2825</v>
      </c>
      <c r="D33" s="1394" t="s">
        <v>2000</v>
      </c>
      <c r="E33" s="1394"/>
      <c r="F33" s="1394"/>
      <c r="I33" s="486"/>
    </row>
    <row r="34" spans="1:9">
      <c r="D34" s="1394"/>
      <c r="E34" s="1394"/>
      <c r="F34" s="1394"/>
      <c r="I34" s="486"/>
    </row>
    <row r="35" spans="1:9" ht="14.4">
      <c r="A35" s="480"/>
      <c r="B35" s="480"/>
      <c r="D35" s="443"/>
      <c r="I35" s="486"/>
    </row>
    <row r="36" spans="1:9" ht="14.4" customHeight="1">
      <c r="A36" s="480"/>
      <c r="B36" s="481" t="s">
        <v>2825</v>
      </c>
      <c r="D36" s="1394" t="s">
        <v>1211</v>
      </c>
      <c r="E36" s="1394"/>
      <c r="F36" s="1394"/>
      <c r="I36" s="486"/>
    </row>
    <row r="37" spans="1:9" ht="14.4">
      <c r="A37" s="480"/>
      <c r="B37" s="480"/>
      <c r="D37" s="1394"/>
      <c r="E37" s="1394"/>
      <c r="F37" s="1394"/>
      <c r="I37" s="486"/>
    </row>
    <row r="38" spans="1:9" ht="14.4">
      <c r="A38" s="480"/>
      <c r="B38" s="480"/>
      <c r="D38" s="1394"/>
      <c r="E38" s="1394"/>
      <c r="F38" s="1394"/>
      <c r="I38" s="486"/>
    </row>
    <row r="39" spans="1:9" ht="14.4">
      <c r="A39" s="480"/>
      <c r="B39" s="480"/>
      <c r="D39" s="1394"/>
      <c r="E39" s="1394"/>
      <c r="F39" s="1394"/>
      <c r="I39" s="486"/>
    </row>
    <row r="40" spans="1:9" ht="14.4">
      <c r="A40" s="480"/>
      <c r="B40" s="480"/>
      <c r="I40" s="486"/>
    </row>
    <row r="41" spans="1:9" ht="14.4">
      <c r="A41" s="480"/>
      <c r="B41" s="481" t="s">
        <v>2825</v>
      </c>
      <c r="D41" s="1394" t="s">
        <v>1090</v>
      </c>
      <c r="E41" s="1394"/>
      <c r="F41" s="1394"/>
      <c r="I41" s="486"/>
    </row>
    <row r="42" spans="1:9" ht="14.4">
      <c r="A42" s="480"/>
      <c r="B42" s="480"/>
      <c r="D42" s="1394"/>
      <c r="E42" s="1394"/>
      <c r="F42" s="1394"/>
      <c r="I42" s="486"/>
    </row>
    <row r="43" spans="1:9" ht="14.4">
      <c r="A43" s="480"/>
      <c r="B43" s="480"/>
      <c r="D43" s="1394"/>
      <c r="E43" s="1394"/>
      <c r="F43" s="1394"/>
      <c r="I43" s="486"/>
    </row>
    <row r="44" spans="1:9" ht="14.4">
      <c r="A44" s="480"/>
      <c r="B44" s="480"/>
      <c r="D44" s="1394"/>
      <c r="E44" s="1394"/>
      <c r="F44" s="1394"/>
      <c r="I44" s="486"/>
    </row>
    <row r="45" spans="1:9" ht="14.4">
      <c r="A45" s="480"/>
      <c r="B45" s="480"/>
      <c r="D45" s="1394"/>
      <c r="E45" s="1394"/>
      <c r="F45" s="1394"/>
      <c r="I45" s="486"/>
    </row>
    <row r="46" spans="1:9" ht="14.4">
      <c r="A46" s="480"/>
      <c r="B46" s="480"/>
      <c r="D46" s="441"/>
      <c r="E46" s="441"/>
      <c r="F46" s="441"/>
      <c r="I46" s="486"/>
    </row>
    <row r="47" spans="1:9" ht="14.4">
      <c r="A47" s="480"/>
      <c r="B47" s="481" t="s">
        <v>2825</v>
      </c>
      <c r="D47" s="1394" t="s">
        <v>1091</v>
      </c>
      <c r="E47" s="1394"/>
      <c r="F47" s="1394"/>
      <c r="I47" s="486"/>
    </row>
    <row r="48" spans="1:9" ht="14.4">
      <c r="A48" s="480"/>
      <c r="B48" s="480"/>
      <c r="D48" s="1394"/>
      <c r="E48" s="1394"/>
      <c r="F48" s="1394"/>
      <c r="I48" s="486"/>
    </row>
    <row r="49" spans="1:9" ht="14.4">
      <c r="A49" s="480"/>
      <c r="B49" s="480"/>
      <c r="D49" s="1394"/>
      <c r="E49" s="1394"/>
      <c r="F49" s="1394"/>
      <c r="I49" s="486"/>
    </row>
    <row r="50" spans="1:9" ht="23.25" customHeight="1">
      <c r="A50" s="480"/>
      <c r="B50" s="480"/>
      <c r="D50" s="1394"/>
      <c r="E50" s="1394"/>
      <c r="F50" s="1394"/>
      <c r="I50" s="486"/>
    </row>
    <row r="51" spans="1:9" ht="14.4">
      <c r="A51" s="480"/>
      <c r="B51" s="480"/>
      <c r="D51" s="442"/>
      <c r="I51" s="486"/>
    </row>
    <row r="52" spans="1:9" ht="14.4" customHeight="1">
      <c r="A52" s="480"/>
      <c r="B52" s="481" t="s">
        <v>2825</v>
      </c>
      <c r="D52" s="1394" t="s">
        <v>1092</v>
      </c>
      <c r="E52" s="1394"/>
      <c r="F52" s="1394"/>
      <c r="I52" s="486"/>
    </row>
    <row r="53" spans="1:9" ht="14.4">
      <c r="A53" s="480"/>
      <c r="B53" s="480"/>
      <c r="D53" s="1394"/>
      <c r="E53" s="1394"/>
      <c r="F53" s="1394"/>
      <c r="I53" s="486"/>
    </row>
    <row r="54" spans="1:9" ht="14.4">
      <c r="A54" s="480"/>
      <c r="B54" s="480"/>
      <c r="D54" s="1394"/>
      <c r="E54" s="1394"/>
      <c r="F54" s="1394"/>
      <c r="I54" s="486"/>
    </row>
    <row r="55" spans="1:9" ht="14.4">
      <c r="A55" s="480"/>
      <c r="B55" s="480"/>
      <c r="I55" s="486"/>
    </row>
    <row r="56" spans="1:9" ht="14.4">
      <c r="A56" s="480"/>
      <c r="B56" s="481" t="s">
        <v>2824</v>
      </c>
      <c r="D56" s="1418" t="s">
        <v>1093</v>
      </c>
      <c r="E56" s="1418"/>
      <c r="F56" s="1418"/>
      <c r="I56" s="486"/>
    </row>
    <row r="57" spans="1:9" ht="14.4">
      <c r="A57" s="480"/>
      <c r="B57" s="480"/>
      <c r="D57" s="1418"/>
      <c r="E57" s="1418"/>
      <c r="F57" s="1418"/>
      <c r="I57" s="486"/>
    </row>
    <row r="58" spans="1:9" ht="14.4">
      <c r="A58" s="480"/>
      <c r="B58" s="480"/>
      <c r="D58" s="388" t="s">
        <v>1886</v>
      </c>
      <c r="E58" s="441"/>
      <c r="F58" s="441"/>
      <c r="I58" s="486"/>
    </row>
    <row r="59" spans="1:9" ht="14.4">
      <c r="A59" s="480"/>
      <c r="B59" s="480"/>
      <c r="D59" s="441"/>
      <c r="E59" s="312" t="s">
        <v>1885</v>
      </c>
      <c r="F59" s="441"/>
      <c r="I59" s="486"/>
    </row>
    <row r="60" spans="1:9">
      <c r="D60" s="443"/>
      <c r="I60" s="486"/>
    </row>
    <row r="61" spans="1:9" ht="14.4">
      <c r="A61" s="480"/>
      <c r="B61" s="481" t="s">
        <v>2824</v>
      </c>
      <c r="D61" s="1394" t="s">
        <v>1094</v>
      </c>
      <c r="E61" s="1394"/>
      <c r="F61" s="1394"/>
      <c r="I61" s="486"/>
    </row>
    <row r="62" spans="1:9">
      <c r="D62" s="1394"/>
      <c r="E62" s="1394"/>
      <c r="F62" s="1394"/>
      <c r="I62" s="486"/>
    </row>
    <row r="63" spans="1:9">
      <c r="D63" s="1394"/>
      <c r="E63" s="1394"/>
      <c r="F63" s="1394"/>
      <c r="I63" s="486"/>
    </row>
    <row r="64" spans="1:9">
      <c r="I64" s="486"/>
    </row>
    <row r="65" spans="1:9" ht="14.4">
      <c r="A65" s="480"/>
      <c r="B65" s="481" t="s">
        <v>2825</v>
      </c>
      <c r="D65" s="1394" t="s">
        <v>1095</v>
      </c>
      <c r="E65" s="1394"/>
      <c r="F65" s="1394"/>
      <c r="I65" s="486"/>
    </row>
    <row r="66" spans="1:9">
      <c r="D66" s="1394"/>
      <c r="E66" s="1394"/>
      <c r="F66" s="1394"/>
      <c r="I66" s="486"/>
    </row>
    <row r="67" spans="1:9">
      <c r="I67" s="486"/>
    </row>
    <row r="68" spans="1:9" ht="14.4">
      <c r="A68" s="480"/>
      <c r="B68" s="481" t="s">
        <v>2824</v>
      </c>
      <c r="D68" s="1394" t="s">
        <v>1096</v>
      </c>
      <c r="E68" s="1394"/>
      <c r="F68" s="1394"/>
      <c r="I68" s="486"/>
    </row>
    <row r="69" spans="1:9">
      <c r="D69" s="1394"/>
      <c r="E69" s="1394"/>
      <c r="F69" s="1394"/>
      <c r="I69" s="486"/>
    </row>
    <row r="70" spans="1:9">
      <c r="D70" s="1394"/>
      <c r="E70" s="1394"/>
      <c r="F70" s="1394"/>
      <c r="I70" s="486"/>
    </row>
    <row r="71" spans="1:9">
      <c r="I71" s="486"/>
    </row>
    <row r="72" spans="1:9" ht="14.4">
      <c r="A72" s="480"/>
      <c r="B72" s="481" t="s">
        <v>2825</v>
      </c>
      <c r="D72" s="1394" t="s">
        <v>1097</v>
      </c>
      <c r="E72" s="1394"/>
      <c r="F72" s="1394"/>
      <c r="I72" s="486"/>
    </row>
    <row r="73" spans="1:9">
      <c r="D73" s="1394"/>
      <c r="E73" s="1394"/>
      <c r="F73" s="1394"/>
      <c r="I73" s="486"/>
    </row>
    <row r="74" spans="1:9" ht="14.4">
      <c r="A74" s="480"/>
      <c r="B74" s="480"/>
      <c r="D74" s="442"/>
      <c r="I74" s="486"/>
    </row>
    <row r="75" spans="1:9">
      <c r="A75" s="1340" t="s">
        <v>1042</v>
      </c>
      <c r="B75" s="1340"/>
      <c r="C75" s="1340"/>
      <c r="D75" s="1340"/>
      <c r="E75" s="1340"/>
      <c r="F75" s="1340"/>
      <c r="G75" s="1340"/>
      <c r="H75" s="1018"/>
      <c r="I75" s="1142"/>
    </row>
    <row r="76" spans="1:9">
      <c r="I76" s="486"/>
    </row>
    <row r="77" spans="1:9">
      <c r="C77" s="482"/>
      <c r="D77" s="1412" t="s">
        <v>1100</v>
      </c>
      <c r="E77" s="1412"/>
      <c r="F77" s="1412"/>
      <c r="I77" s="486"/>
    </row>
    <row r="78" spans="1:9">
      <c r="A78" s="442"/>
      <c r="B78" s="442"/>
      <c r="D78" s="1394" t="s">
        <v>1115</v>
      </c>
      <c r="E78" s="1394"/>
      <c r="F78" s="1394"/>
      <c r="I78" s="486"/>
    </row>
    <row r="79" spans="1:9">
      <c r="A79" s="442"/>
      <c r="B79" s="442"/>
      <c r="I79" s="486"/>
    </row>
    <row r="80" spans="1:9" ht="13.65" customHeight="1">
      <c r="A80" s="480"/>
      <c r="B80" s="481" t="s">
        <v>2824</v>
      </c>
      <c r="D80" s="1394" t="s">
        <v>1242</v>
      </c>
      <c r="E80" s="1394"/>
      <c r="F80" s="1394"/>
      <c r="I80" s="486"/>
    </row>
    <row r="81" spans="1:9" ht="14.4">
      <c r="A81" s="480"/>
      <c r="B81" s="480"/>
      <c r="D81" s="1394"/>
      <c r="E81" s="1394"/>
      <c r="F81" s="1394"/>
      <c r="I81" s="486"/>
    </row>
    <row r="82" spans="1:9" ht="14.4">
      <c r="A82" s="480"/>
      <c r="B82" s="480"/>
      <c r="D82" s="1394"/>
      <c r="E82" s="1394"/>
      <c r="F82" s="1394"/>
      <c r="I82" s="486"/>
    </row>
    <row r="83" spans="1:9" ht="14.4">
      <c r="A83" s="480"/>
      <c r="B83" s="480"/>
      <c r="D83" s="1394"/>
      <c r="E83" s="1394"/>
      <c r="F83" s="1394"/>
      <c r="I83" s="486"/>
    </row>
    <row r="84" spans="1:9" ht="14.4">
      <c r="A84" s="480"/>
      <c r="B84" s="480"/>
      <c r="D84" s="1394"/>
      <c r="E84" s="1394"/>
      <c r="F84" s="1394"/>
      <c r="I84" s="486"/>
    </row>
    <row r="85" spans="1:9" ht="14.4">
      <c r="A85" s="480"/>
      <c r="B85" s="480"/>
      <c r="D85" s="1394"/>
      <c r="E85" s="1394"/>
      <c r="F85" s="1394"/>
      <c r="I85" s="486"/>
    </row>
    <row r="86" spans="1:9" ht="14.4">
      <c r="A86" s="480"/>
      <c r="B86" s="480"/>
      <c r="D86" s="1394"/>
      <c r="E86" s="1394"/>
      <c r="F86" s="1394"/>
      <c r="I86" s="486"/>
    </row>
    <row r="87" spans="1:9" ht="14.4">
      <c r="A87" s="480"/>
      <c r="B87" s="480"/>
      <c r="D87" s="1394"/>
      <c r="E87" s="1394"/>
      <c r="F87" s="1394"/>
      <c r="I87" s="486"/>
    </row>
    <row r="88" spans="1:9" ht="14.4">
      <c r="A88" s="480"/>
      <c r="B88" s="480"/>
      <c r="D88" s="381"/>
      <c r="E88" s="381"/>
      <c r="F88" s="381"/>
      <c r="I88" s="486"/>
    </row>
    <row r="89" spans="1:9" ht="15" customHeight="1">
      <c r="A89" s="480"/>
      <c r="B89" s="481" t="s">
        <v>2824</v>
      </c>
      <c r="D89" s="1394" t="s">
        <v>1727</v>
      </c>
      <c r="E89" s="1394"/>
      <c r="F89" s="1394"/>
      <c r="I89" s="486"/>
    </row>
    <row r="90" spans="1:9" ht="14.4">
      <c r="A90" s="480"/>
      <c r="B90" s="480"/>
      <c r="D90" s="1394"/>
      <c r="E90" s="1394"/>
      <c r="F90" s="1394"/>
      <c r="I90" s="486"/>
    </row>
    <row r="91" spans="1:9" ht="14.4">
      <c r="A91" s="480"/>
      <c r="B91" s="480"/>
      <c r="D91" s="441"/>
      <c r="E91" s="441"/>
      <c r="F91" s="441"/>
      <c r="I91" s="486"/>
    </row>
    <row r="92" spans="1:9" ht="14.4">
      <c r="A92" s="480"/>
      <c r="B92" s="481" t="s">
        <v>2824</v>
      </c>
      <c r="D92" s="1394" t="s">
        <v>1730</v>
      </c>
      <c r="E92" s="1394"/>
      <c r="F92" s="1394"/>
      <c r="I92" s="486"/>
    </row>
    <row r="93" spans="1:9" ht="14.4">
      <c r="A93" s="480"/>
      <c r="B93" s="480"/>
      <c r="D93" s="1394"/>
      <c r="E93" s="1394"/>
      <c r="F93" s="1394"/>
      <c r="I93" s="486"/>
    </row>
    <row r="94" spans="1:9" ht="14.4">
      <c r="A94" s="480"/>
      <c r="B94" s="480"/>
      <c r="D94" s="1394"/>
      <c r="E94" s="1394"/>
      <c r="F94" s="1394"/>
      <c r="I94" s="486"/>
    </row>
    <row r="95" spans="1:9" ht="14.4">
      <c r="A95" s="480"/>
      <c r="B95" s="480"/>
      <c r="D95" s="441"/>
      <c r="E95" s="441"/>
      <c r="F95" s="441"/>
      <c r="I95" s="486"/>
    </row>
    <row r="96" spans="1:9" ht="14.4">
      <c r="A96" s="480"/>
      <c r="B96" s="481" t="s">
        <v>2824</v>
      </c>
      <c r="D96" s="1394" t="s">
        <v>1729</v>
      </c>
      <c r="E96" s="1394"/>
      <c r="F96" s="1394"/>
      <c r="I96" s="486"/>
    </row>
    <row r="97" spans="1:9" s="977" customFormat="1" ht="14.4">
      <c r="A97" s="975"/>
      <c r="B97" s="975"/>
      <c r="C97" s="976"/>
      <c r="D97" s="1394"/>
      <c r="E97" s="1394"/>
      <c r="F97" s="1394"/>
      <c r="I97" s="1143"/>
    </row>
    <row r="98" spans="1:9" ht="14.4">
      <c r="A98" s="480"/>
      <c r="B98" s="480"/>
      <c r="D98" s="388"/>
      <c r="E98" s="312" t="s">
        <v>1889</v>
      </c>
      <c r="F98" s="441"/>
      <c r="I98" s="486"/>
    </row>
    <row r="99" spans="1:9" ht="14.4">
      <c r="A99" s="480"/>
      <c r="B99" s="480"/>
      <c r="D99" s="381"/>
      <c r="E99" s="381"/>
      <c r="F99" s="381"/>
      <c r="I99" s="486"/>
    </row>
    <row r="100" spans="1:9" ht="14.4">
      <c r="A100" s="480"/>
      <c r="B100" s="481" t="s">
        <v>2825</v>
      </c>
      <c r="D100" s="1394" t="s">
        <v>1728</v>
      </c>
      <c r="E100" s="1394"/>
      <c r="F100" s="1394"/>
      <c r="I100" s="486"/>
    </row>
    <row r="101" spans="1:9" ht="14.4">
      <c r="A101" s="480"/>
      <c r="B101" s="480"/>
      <c r="D101" s="1394"/>
      <c r="E101" s="1394"/>
      <c r="F101" s="1394"/>
      <c r="I101" s="486"/>
    </row>
    <row r="102" spans="1:9" ht="14.4">
      <c r="A102" s="480"/>
      <c r="B102" s="480"/>
      <c r="D102" s="441"/>
      <c r="E102" s="441"/>
      <c r="F102" s="441"/>
      <c r="I102" s="486"/>
    </row>
    <row r="103" spans="1:9" ht="14.4" customHeight="1">
      <c r="A103" s="480"/>
      <c r="B103" s="481" t="s">
        <v>2825</v>
      </c>
      <c r="D103" s="1394" t="s">
        <v>1191</v>
      </c>
      <c r="E103" s="1394"/>
      <c r="F103" s="1394"/>
      <c r="I103" s="486"/>
    </row>
    <row r="104" spans="1:9" ht="14.4">
      <c r="A104" s="480"/>
      <c r="B104" s="480"/>
      <c r="D104" s="1394"/>
      <c r="E104" s="1394"/>
      <c r="F104" s="1394"/>
      <c r="I104" s="486"/>
    </row>
    <row r="105" spans="1:9" ht="14.4">
      <c r="A105" s="480"/>
      <c r="B105" s="480"/>
      <c r="D105" s="1394"/>
      <c r="E105" s="1394"/>
      <c r="F105" s="1394"/>
      <c r="I105" s="486"/>
    </row>
    <row r="106" spans="1:9" ht="14.4">
      <c r="A106" s="480"/>
      <c r="B106" s="480"/>
      <c r="D106" s="1394"/>
      <c r="E106" s="1394"/>
      <c r="F106" s="1394"/>
      <c r="I106" s="486"/>
    </row>
    <row r="107" spans="1:9" ht="14.4">
      <c r="A107" s="480"/>
      <c r="B107" s="480"/>
      <c r="D107" s="1394"/>
      <c r="E107" s="1394"/>
      <c r="F107" s="1394"/>
      <c r="I107" s="486"/>
    </row>
    <row r="108" spans="1:9" ht="14.4">
      <c r="A108" s="480"/>
      <c r="B108" s="480"/>
      <c r="D108" s="1394"/>
      <c r="E108" s="1394"/>
      <c r="F108" s="1394"/>
      <c r="I108" s="486"/>
    </row>
    <row r="109" spans="1:9" ht="14.4">
      <c r="A109" s="480"/>
      <c r="B109" s="480"/>
      <c r="D109" s="1394"/>
      <c r="E109" s="1394"/>
      <c r="F109" s="1394"/>
      <c r="I109" s="486"/>
    </row>
    <row r="110" spans="1:9" ht="14.4">
      <c r="A110" s="480"/>
      <c r="B110" s="480"/>
      <c r="D110" s="1394"/>
      <c r="E110" s="1394"/>
      <c r="F110" s="1394"/>
      <c r="I110" s="486"/>
    </row>
    <row r="111" spans="1:9" ht="14.4">
      <c r="A111" s="480"/>
      <c r="B111" s="480"/>
      <c r="D111" s="1394"/>
      <c r="E111" s="1394"/>
      <c r="F111" s="1394"/>
      <c r="I111" s="486"/>
    </row>
    <row r="112" spans="1:9" ht="14.4">
      <c r="A112" s="480"/>
      <c r="B112" s="480"/>
      <c r="D112" s="1394"/>
      <c r="E112" s="1394"/>
      <c r="F112" s="1394"/>
      <c r="I112" s="486"/>
    </row>
    <row r="113" spans="1:9" ht="14.4">
      <c r="A113" s="480"/>
      <c r="B113" s="480"/>
      <c r="D113" s="1394"/>
      <c r="E113" s="1394"/>
      <c r="F113" s="1394"/>
      <c r="I113" s="486"/>
    </row>
    <row r="114" spans="1:9" ht="14.4">
      <c r="A114" s="480"/>
      <c r="B114" s="480"/>
      <c r="D114" s="1394"/>
      <c r="E114" s="1394"/>
      <c r="F114" s="1394"/>
      <c r="I114" s="486"/>
    </row>
    <row r="115" spans="1:9" ht="14.4">
      <c r="A115" s="480"/>
      <c r="B115" s="480"/>
      <c r="D115" s="1394"/>
      <c r="E115" s="1394"/>
      <c r="F115" s="1394"/>
      <c r="I115" s="486"/>
    </row>
    <row r="116" spans="1:9" ht="14.4">
      <c r="A116" s="480"/>
      <c r="B116" s="480"/>
      <c r="D116" s="1394"/>
      <c r="E116" s="1394"/>
      <c r="F116" s="1394"/>
      <c r="I116" s="486"/>
    </row>
    <row r="117" spans="1:9" ht="14.4">
      <c r="A117" s="480"/>
      <c r="B117" s="480"/>
      <c r="D117" s="1394"/>
      <c r="E117" s="1394"/>
      <c r="F117" s="1394"/>
      <c r="I117" s="486"/>
    </row>
    <row r="118" spans="1:9" ht="14.4">
      <c r="A118" s="480"/>
      <c r="B118" s="480"/>
      <c r="D118" s="520"/>
      <c r="E118" s="520"/>
      <c r="F118" s="520"/>
      <c r="I118" s="486"/>
    </row>
    <row r="119" spans="1:9" ht="14.25" customHeight="1">
      <c r="A119" s="480"/>
      <c r="B119" s="481" t="s">
        <v>2825</v>
      </c>
      <c r="D119" s="1378" t="s">
        <v>1101</v>
      </c>
      <c r="E119" s="1378"/>
      <c r="F119" s="1378"/>
      <c r="I119" s="486"/>
    </row>
    <row r="120" spans="1:9" ht="14.4">
      <c r="A120" s="480"/>
      <c r="B120" s="480"/>
      <c r="D120" s="1378"/>
      <c r="E120" s="1378"/>
      <c r="F120" s="1378"/>
      <c r="I120" s="486"/>
    </row>
    <row r="121" spans="1:9" ht="14.4">
      <c r="A121" s="480"/>
      <c r="B121" s="480"/>
      <c r="D121" s="1378"/>
      <c r="E121" s="1378"/>
      <c r="F121" s="1378"/>
      <c r="I121" s="486"/>
    </row>
    <row r="122" spans="1:9" ht="14.4">
      <c r="A122" s="480"/>
      <c r="B122" s="480"/>
      <c r="D122" s="1378"/>
      <c r="E122" s="1378"/>
      <c r="F122" s="1378"/>
      <c r="I122" s="486"/>
    </row>
    <row r="123" spans="1:9" ht="14.4">
      <c r="A123" s="480"/>
      <c r="B123" s="480"/>
      <c r="D123" s="1378"/>
      <c r="E123" s="1378"/>
      <c r="F123" s="1378"/>
      <c r="I123" s="486"/>
    </row>
    <row r="124" spans="1:9" ht="14.4">
      <c r="A124" s="480"/>
      <c r="B124" s="480"/>
      <c r="D124" s="1378"/>
      <c r="E124" s="1378"/>
      <c r="F124" s="1378"/>
      <c r="I124" s="486"/>
    </row>
    <row r="125" spans="1:9" ht="14.4">
      <c r="A125" s="480"/>
      <c r="B125" s="480"/>
      <c r="D125" s="1378"/>
      <c r="E125" s="1378"/>
      <c r="F125" s="1378"/>
      <c r="I125" s="486"/>
    </row>
    <row r="126" spans="1:9" ht="14.4">
      <c r="A126" s="480"/>
      <c r="B126" s="480"/>
      <c r="D126" s="1378"/>
      <c r="E126" s="1378"/>
      <c r="F126" s="1378"/>
      <c r="I126" s="486"/>
    </row>
    <row r="127" spans="1:9">
      <c r="C127" s="398"/>
      <c r="D127" s="521"/>
      <c r="E127" s="521"/>
      <c r="F127" s="521"/>
      <c r="I127" s="486"/>
    </row>
    <row r="128" spans="1:9" ht="14.4">
      <c r="A128" s="480"/>
      <c r="B128" s="481" t="s">
        <v>2824</v>
      </c>
      <c r="C128" s="398"/>
      <c r="D128" s="1378" t="s">
        <v>2001</v>
      </c>
      <c r="E128" s="1378"/>
      <c r="F128" s="1378"/>
      <c r="I128" s="486"/>
    </row>
    <row r="129" spans="1:9" ht="14.4">
      <c r="A129" s="480"/>
      <c r="B129" s="480"/>
      <c r="C129" s="398"/>
      <c r="D129" s="1378"/>
      <c r="E129" s="1378"/>
      <c r="F129" s="1378"/>
      <c r="I129" s="486"/>
    </row>
    <row r="130" spans="1:9">
      <c r="I130" s="486"/>
    </row>
    <row r="131" spans="1:9" ht="14.4">
      <c r="A131" s="480"/>
      <c r="B131" s="481" t="s">
        <v>2824</v>
      </c>
      <c r="D131" s="1394" t="s">
        <v>1102</v>
      </c>
      <c r="E131" s="1394"/>
      <c r="F131" s="1394"/>
      <c r="I131" s="486"/>
    </row>
    <row r="132" spans="1:9">
      <c r="D132" s="1394"/>
      <c r="E132" s="1394"/>
      <c r="F132" s="1394"/>
      <c r="I132" s="486"/>
    </row>
    <row r="133" spans="1:9">
      <c r="D133" s="1394"/>
      <c r="E133" s="1394"/>
      <c r="F133" s="1394"/>
      <c r="I133" s="486"/>
    </row>
    <row r="134" spans="1:9">
      <c r="D134" s="1394"/>
      <c r="E134" s="1394"/>
      <c r="F134" s="1394"/>
      <c r="I134" s="486"/>
    </row>
    <row r="135" spans="1:9">
      <c r="D135" s="1394"/>
      <c r="E135" s="1394"/>
      <c r="F135" s="1394"/>
      <c r="I135" s="486"/>
    </row>
    <row r="136" spans="1:9">
      <c r="I136" s="486"/>
    </row>
    <row r="137" spans="1:9" ht="14.4">
      <c r="A137" s="480"/>
      <c r="B137" s="481" t="s">
        <v>2824</v>
      </c>
      <c r="D137" s="1394" t="s">
        <v>1103</v>
      </c>
      <c r="E137" s="1394"/>
      <c r="F137" s="1394"/>
      <c r="I137" s="486"/>
    </row>
    <row r="138" spans="1:9" s="413" customFormat="1" ht="13.65" customHeight="1">
      <c r="A138" s="484"/>
      <c r="B138" s="484"/>
      <c r="C138" s="484"/>
      <c r="D138" s="1394"/>
      <c r="E138" s="1394"/>
      <c r="F138" s="1394"/>
      <c r="I138" s="1144"/>
    </row>
    <row r="139" spans="1:9" ht="13.65" customHeight="1">
      <c r="D139" s="1394"/>
      <c r="E139" s="1394"/>
      <c r="F139" s="1394"/>
      <c r="I139" s="486"/>
    </row>
    <row r="140" spans="1:9" ht="13.65" customHeight="1">
      <c r="D140" s="1394"/>
      <c r="E140" s="1394"/>
      <c r="F140" s="1394"/>
      <c r="I140" s="486"/>
    </row>
    <row r="141" spans="1:9" ht="13.65" customHeight="1">
      <c r="D141" s="1394"/>
      <c r="E141" s="1394"/>
      <c r="F141" s="1394"/>
      <c r="I141" s="486"/>
    </row>
    <row r="142" spans="1:9" ht="13.65" customHeight="1">
      <c r="A142" s="485"/>
      <c r="B142" s="485"/>
      <c r="D142" s="1394"/>
      <c r="E142" s="1394"/>
      <c r="F142" s="1394"/>
      <c r="I142" s="486"/>
    </row>
    <row r="143" spans="1:9" ht="13.65" customHeight="1">
      <c r="D143" s="1394"/>
      <c r="E143" s="1394"/>
      <c r="F143" s="1394"/>
      <c r="I143" s="486"/>
    </row>
    <row r="144" spans="1:9" ht="13.65" customHeight="1">
      <c r="D144" s="1394"/>
      <c r="E144" s="1394"/>
      <c r="F144" s="1394"/>
      <c r="I144" s="486"/>
    </row>
    <row r="145" spans="2:9" ht="13.65" customHeight="1">
      <c r="D145" s="1394"/>
      <c r="E145" s="1394"/>
      <c r="F145" s="1394"/>
      <c r="I145" s="486"/>
    </row>
    <row r="146" spans="2:9" ht="13.65" customHeight="1">
      <c r="D146" s="1394"/>
      <c r="E146" s="1394"/>
      <c r="F146" s="1394"/>
      <c r="I146" s="486"/>
    </row>
    <row r="147" spans="2:9" ht="13.65" customHeight="1">
      <c r="D147" s="1394"/>
      <c r="E147" s="1394"/>
      <c r="F147" s="1394"/>
      <c r="I147" s="486"/>
    </row>
    <row r="148" spans="2:9" ht="13.65" customHeight="1">
      <c r="D148" s="1394"/>
      <c r="E148" s="1394"/>
      <c r="F148" s="1394"/>
      <c r="I148" s="486"/>
    </row>
    <row r="149" spans="2:9" ht="13.65" customHeight="1">
      <c r="D149" s="1394"/>
      <c r="E149" s="1394"/>
      <c r="F149" s="1394"/>
      <c r="I149" s="486"/>
    </row>
    <row r="150" spans="2:9" ht="13.65" customHeight="1">
      <c r="D150" s="472"/>
      <c r="E150" s="442"/>
      <c r="F150" s="442"/>
      <c r="I150" s="486"/>
    </row>
    <row r="151" spans="2:9" ht="13.65" customHeight="1">
      <c r="B151" s="481" t="s">
        <v>2825</v>
      </c>
      <c r="D151" s="1394" t="s">
        <v>1174</v>
      </c>
      <c r="E151" s="1394"/>
      <c r="F151" s="1394"/>
      <c r="I151" s="486"/>
    </row>
    <row r="152" spans="2:9" ht="13.65" customHeight="1">
      <c r="D152" s="1394"/>
      <c r="E152" s="1394"/>
      <c r="F152" s="1394"/>
      <c r="I152" s="486"/>
    </row>
    <row r="153" spans="2:9" ht="13.65" customHeight="1">
      <c r="D153" s="1394"/>
      <c r="E153" s="1394"/>
      <c r="F153" s="1394"/>
      <c r="I153" s="486"/>
    </row>
    <row r="154" spans="2:9" ht="13.65" customHeight="1">
      <c r="D154" s="1394"/>
      <c r="E154" s="1394"/>
      <c r="F154" s="1394"/>
      <c r="I154" s="486"/>
    </row>
    <row r="155" spans="2:9" ht="13.65" customHeight="1">
      <c r="D155" s="1394"/>
      <c r="E155" s="1394"/>
      <c r="F155" s="1394"/>
      <c r="I155" s="486"/>
    </row>
    <row r="156" spans="2:9" ht="13.65" customHeight="1">
      <c r="D156" s="1394"/>
      <c r="E156" s="1394"/>
      <c r="F156" s="1394"/>
      <c r="I156" s="486"/>
    </row>
    <row r="157" spans="2:9" ht="13.65" customHeight="1">
      <c r="D157" s="1394"/>
      <c r="E157" s="1394"/>
      <c r="F157" s="1394"/>
      <c r="I157" s="486"/>
    </row>
    <row r="158" spans="2:9" ht="13.65" customHeight="1">
      <c r="D158" s="1394"/>
      <c r="E158" s="1394"/>
      <c r="F158" s="1394"/>
      <c r="I158" s="486"/>
    </row>
    <row r="159" spans="2:9" ht="13.65" customHeight="1">
      <c r="D159" s="1394"/>
      <c r="E159" s="1394"/>
      <c r="F159" s="1394"/>
      <c r="I159" s="486"/>
    </row>
    <row r="160" spans="2:9" ht="13.65" customHeight="1">
      <c r="D160" s="1394"/>
      <c r="E160" s="1394"/>
      <c r="F160" s="1394"/>
      <c r="I160" s="486"/>
    </row>
    <row r="161" spans="1:9" ht="13.65" customHeight="1">
      <c r="D161" s="1394"/>
      <c r="E161" s="1394"/>
      <c r="F161" s="1394"/>
      <c r="I161" s="486"/>
    </row>
    <row r="162" spans="1:9" ht="13.65" customHeight="1">
      <c r="D162" s="1394"/>
      <c r="E162" s="1394"/>
      <c r="F162" s="1394"/>
      <c r="I162" s="486"/>
    </row>
    <row r="163" spans="1:9" ht="13.65" customHeight="1">
      <c r="D163" s="1394"/>
      <c r="E163" s="1394"/>
      <c r="F163" s="1394"/>
      <c r="I163" s="486"/>
    </row>
    <row r="164" spans="1:9" ht="13.65" customHeight="1">
      <c r="D164" s="1394"/>
      <c r="E164" s="1394"/>
      <c r="F164" s="1394"/>
      <c r="I164" s="486"/>
    </row>
    <row r="165" spans="1:9" ht="13.65" customHeight="1">
      <c r="D165" s="1394"/>
      <c r="E165" s="1394"/>
      <c r="F165" s="1394"/>
      <c r="I165" s="486"/>
    </row>
    <row r="166" spans="1:9" ht="13.65" customHeight="1">
      <c r="D166" s="1394"/>
      <c r="E166" s="1394"/>
      <c r="F166" s="1394"/>
      <c r="I166" s="486"/>
    </row>
    <row r="167" spans="1:9" ht="13.65" customHeight="1">
      <c r="D167" s="1394"/>
      <c r="E167" s="1394"/>
      <c r="F167" s="1394"/>
      <c r="I167" s="486"/>
    </row>
    <row r="168" spans="1:9" ht="13.65" customHeight="1">
      <c r="D168" s="1394"/>
      <c r="E168" s="1394"/>
      <c r="F168" s="1394"/>
      <c r="I168" s="486"/>
    </row>
    <row r="169" spans="1:9" ht="13.65" customHeight="1">
      <c r="D169" s="1415" t="s">
        <v>2023</v>
      </c>
      <c r="E169" s="1415"/>
      <c r="F169" s="1415"/>
      <c r="G169" s="503"/>
      <c r="I169" s="486"/>
    </row>
    <row r="170" spans="1:9" ht="13.65" customHeight="1">
      <c r="D170" s="1403"/>
      <c r="E170" s="1403"/>
      <c r="F170" s="1403"/>
      <c r="G170" s="1403"/>
      <c r="I170" s="486"/>
    </row>
    <row r="171" spans="1:9" ht="14.4" customHeight="1">
      <c r="A171" s="485"/>
      <c r="B171" s="481" t="s">
        <v>2825</v>
      </c>
      <c r="C171" s="472"/>
      <c r="D171" s="1364" t="s">
        <v>2159</v>
      </c>
      <c r="E171" s="1364"/>
      <c r="F171" s="1364"/>
      <c r="G171" s="472"/>
      <c r="I171" s="486"/>
    </row>
    <row r="172" spans="1:9" ht="14.4" customHeight="1">
      <c r="A172" s="485"/>
      <c r="B172" s="485"/>
      <c r="C172" s="472"/>
      <c r="D172" s="1364"/>
      <c r="E172" s="1364"/>
      <c r="F172" s="1364"/>
      <c r="G172" s="472"/>
      <c r="I172" s="486"/>
    </row>
    <row r="173" spans="1:9" ht="14.4" customHeight="1">
      <c r="A173" s="485"/>
      <c r="B173" s="485"/>
      <c r="C173" s="472"/>
      <c r="D173" s="1364"/>
      <c r="E173" s="1364"/>
      <c r="F173" s="1364"/>
      <c r="G173" s="472"/>
      <c r="I173" s="486"/>
    </row>
    <row r="174" spans="1:9" ht="14.4" customHeight="1">
      <c r="A174" s="485"/>
      <c r="B174" s="485"/>
      <c r="C174" s="472"/>
      <c r="D174" s="1364"/>
      <c r="E174" s="1364"/>
      <c r="F174" s="1364"/>
      <c r="G174" s="472"/>
      <c r="I174" s="486"/>
    </row>
    <row r="175" spans="1:9" ht="13.65" customHeight="1">
      <c r="A175" s="485"/>
      <c r="B175" s="485"/>
      <c r="C175" s="472"/>
      <c r="D175" s="1364"/>
      <c r="E175" s="1364"/>
      <c r="F175" s="1364"/>
      <c r="G175" s="472"/>
      <c r="I175" s="486"/>
    </row>
    <row r="176" spans="1:9" ht="13.65" customHeight="1">
      <c r="A176" s="485"/>
      <c r="B176" s="485"/>
      <c r="C176" s="472"/>
      <c r="D176" s="472"/>
      <c r="E176" s="472"/>
      <c r="F176" s="472"/>
      <c r="G176" s="472"/>
      <c r="I176" s="486"/>
    </row>
    <row r="177" spans="1:9" ht="13.65" customHeight="1">
      <c r="A177" s="485"/>
      <c r="B177" s="481" t="s">
        <v>2825</v>
      </c>
      <c r="C177" s="472"/>
      <c r="D177" s="1364" t="s">
        <v>1104</v>
      </c>
      <c r="E177" s="1364"/>
      <c r="F177" s="1364"/>
      <c r="G177" s="472"/>
      <c r="I177" s="486"/>
    </row>
    <row r="178" spans="1:9" ht="13.65" customHeight="1">
      <c r="A178" s="485"/>
      <c r="B178" s="485"/>
      <c r="C178" s="472"/>
      <c r="D178" s="1364"/>
      <c r="E178" s="1364"/>
      <c r="F178" s="1364"/>
      <c r="G178" s="472"/>
      <c r="I178" s="486"/>
    </row>
    <row r="179" spans="1:9" ht="13.65" customHeight="1">
      <c r="A179" s="485"/>
      <c r="B179" s="485"/>
      <c r="C179" s="472"/>
      <c r="D179" s="1364"/>
      <c r="E179" s="1364"/>
      <c r="F179" s="1364"/>
      <c r="G179" s="472"/>
      <c r="I179" s="486"/>
    </row>
    <row r="180" spans="1:9" ht="13.65" customHeight="1">
      <c r="A180" s="485"/>
      <c r="B180" s="485"/>
      <c r="C180" s="472"/>
      <c r="D180" s="1364"/>
      <c r="E180" s="1364"/>
      <c r="F180" s="1364"/>
      <c r="G180" s="472"/>
      <c r="I180" s="486"/>
    </row>
    <row r="181" spans="1:9" ht="13.65" customHeight="1">
      <c r="D181" s="442"/>
      <c r="E181" s="442"/>
      <c r="F181" s="442"/>
      <c r="I181" s="486"/>
    </row>
    <row r="182" spans="1:9" ht="13.65" hidden="1" customHeight="1">
      <c r="B182" s="481" t="s">
        <v>307</v>
      </c>
      <c r="D182" s="1409" t="s">
        <v>2002</v>
      </c>
      <c r="E182" s="1409"/>
      <c r="F182" s="1409"/>
      <c r="I182" s="486"/>
    </row>
    <row r="183" spans="1:9" ht="13.65" hidden="1" customHeight="1">
      <c r="D183" s="1409"/>
      <c r="E183" s="1409"/>
      <c r="F183" s="1409"/>
      <c r="I183" s="486"/>
    </row>
    <row r="184" spans="1:9" ht="13.65" hidden="1" customHeight="1">
      <c r="D184" s="1409"/>
      <c r="E184" s="1409"/>
      <c r="F184" s="1409"/>
      <c r="I184" s="486"/>
    </row>
    <row r="185" spans="1:9" ht="13.65" customHeight="1">
      <c r="A185" s="486"/>
      <c r="B185" s="486"/>
      <c r="E185" s="442"/>
      <c r="F185" s="442"/>
      <c r="I185" s="486"/>
    </row>
    <row r="186" spans="1:9">
      <c r="A186" s="1340" t="s">
        <v>2003</v>
      </c>
      <c r="B186" s="1340"/>
      <c r="C186" s="1340"/>
      <c r="D186" s="1340"/>
      <c r="E186" s="1340"/>
      <c r="F186" s="1340"/>
      <c r="G186" s="1340"/>
      <c r="H186" s="1018"/>
      <c r="I186" s="1142"/>
    </row>
    <row r="187" spans="1:9" ht="12" customHeight="1">
      <c r="D187" s="442"/>
      <c r="E187" s="442"/>
      <c r="F187" s="442"/>
      <c r="I187" s="486"/>
    </row>
    <row r="188" spans="1:9">
      <c r="B188" s="1399" t="s">
        <v>444</v>
      </c>
      <c r="C188" s="1399"/>
      <c r="D188" s="1399"/>
      <c r="E188" s="1399"/>
      <c r="F188" s="1399"/>
      <c r="I188" s="486"/>
    </row>
    <row r="189" spans="1:9">
      <c r="B189" s="388" t="s">
        <v>1841</v>
      </c>
      <c r="C189" s="388"/>
      <c r="D189" s="388"/>
      <c r="E189" s="388"/>
      <c r="F189" s="388"/>
      <c r="I189" s="486"/>
    </row>
    <row r="190" spans="1:9" ht="12" customHeight="1">
      <c r="A190" s="478"/>
      <c r="B190" s="478"/>
      <c r="C190" s="478"/>
      <c r="I190" s="486"/>
    </row>
    <row r="191" spans="1:9">
      <c r="A191" s="1340" t="s">
        <v>1043</v>
      </c>
      <c r="B191" s="1340"/>
      <c r="C191" s="1340"/>
      <c r="D191" s="1340"/>
      <c r="E191" s="1340"/>
      <c r="F191" s="1340"/>
      <c r="G191" s="1340"/>
      <c r="H191" s="1018"/>
      <c r="I191" s="1142"/>
    </row>
    <row r="192" spans="1:9" ht="12" customHeight="1">
      <c r="A192" s="400"/>
      <c r="B192" s="400"/>
      <c r="E192" s="400"/>
      <c r="I192" s="486"/>
    </row>
    <row r="193" spans="1:9" ht="13.65" customHeight="1">
      <c r="A193" s="400"/>
      <c r="B193" s="400"/>
      <c r="D193" s="1412" t="s">
        <v>1731</v>
      </c>
      <c r="E193" s="1412"/>
      <c r="F193" s="1412"/>
      <c r="I193" s="486"/>
    </row>
    <row r="194" spans="1:9">
      <c r="A194" s="400"/>
      <c r="B194" s="400"/>
      <c r="D194" s="1412"/>
      <c r="E194" s="1412"/>
      <c r="F194" s="1412"/>
      <c r="I194" s="486"/>
    </row>
    <row r="195" spans="1:9">
      <c r="A195" s="400"/>
      <c r="B195" s="400"/>
      <c r="D195" s="1399" t="s">
        <v>1192</v>
      </c>
      <c r="E195" s="1399"/>
      <c r="F195" s="1399"/>
      <c r="I195" s="486"/>
    </row>
    <row r="196" spans="1:9">
      <c r="A196" s="400"/>
      <c r="B196" s="400"/>
      <c r="D196" s="388"/>
      <c r="E196" s="388"/>
      <c r="F196" s="388"/>
      <c r="I196" s="486"/>
    </row>
    <row r="197" spans="1:9">
      <c r="A197" s="400"/>
      <c r="B197" s="400"/>
      <c r="D197" s="1394" t="s">
        <v>2636</v>
      </c>
      <c r="E197" s="1394"/>
      <c r="F197" s="1394"/>
      <c r="I197" s="486"/>
    </row>
    <row r="198" spans="1:9">
      <c r="A198" s="400"/>
      <c r="B198" s="400"/>
      <c r="D198" s="1394"/>
      <c r="E198" s="1394"/>
      <c r="F198" s="1394"/>
      <c r="I198" s="486"/>
    </row>
    <row r="199" spans="1:9">
      <c r="A199" s="400"/>
      <c r="B199" s="400"/>
      <c r="D199" s="1394"/>
      <c r="E199" s="1394"/>
      <c r="F199" s="1394"/>
      <c r="I199" s="486"/>
    </row>
    <row r="200" spans="1:9">
      <c r="A200" s="400"/>
      <c r="B200" s="400"/>
      <c r="D200" s="1394"/>
      <c r="E200" s="1394"/>
      <c r="F200" s="1394"/>
      <c r="I200" s="486"/>
    </row>
    <row r="201" spans="1:9">
      <c r="A201" s="400"/>
      <c r="B201" s="400"/>
      <c r="D201" s="1394"/>
      <c r="E201" s="1394"/>
      <c r="F201" s="1394"/>
      <c r="I201" s="486"/>
    </row>
    <row r="202" spans="1:9">
      <c r="A202" s="400"/>
      <c r="B202" s="400"/>
      <c r="D202" s="388"/>
      <c r="E202" s="388"/>
      <c r="F202" s="388"/>
      <c r="I202" s="486"/>
    </row>
    <row r="203" spans="1:9">
      <c r="A203" s="400"/>
      <c r="B203" s="481" t="s">
        <v>2824</v>
      </c>
      <c r="D203" s="1373" t="s">
        <v>1732</v>
      </c>
      <c r="E203" s="1373"/>
      <c r="F203" s="1373"/>
      <c r="I203" s="486"/>
    </row>
    <row r="204" spans="1:9">
      <c r="A204" s="400"/>
      <c r="B204" s="400"/>
      <c r="D204" s="1375" t="s">
        <v>1867</v>
      </c>
      <c r="E204" s="1375"/>
      <c r="F204" s="1375"/>
      <c r="I204" s="486"/>
    </row>
    <row r="205" spans="1:9">
      <c r="A205" s="400"/>
      <c r="B205" s="400"/>
      <c r="D205" s="96" t="s">
        <v>1733</v>
      </c>
      <c r="E205" s="1419" t="s">
        <v>1890</v>
      </c>
      <c r="F205" s="1419"/>
      <c r="I205" s="486"/>
    </row>
    <row r="206" spans="1:9">
      <c r="A206" s="400"/>
      <c r="B206" s="400"/>
      <c r="D206" s="3"/>
      <c r="E206" s="3"/>
      <c r="F206" s="3"/>
      <c r="I206" s="486"/>
    </row>
    <row r="207" spans="1:9" customFormat="1">
      <c r="A207" s="350"/>
      <c r="B207" s="1261"/>
      <c r="C207" s="350"/>
      <c r="D207" s="1359" t="s">
        <v>2637</v>
      </c>
      <c r="E207" s="1359"/>
      <c r="F207" s="1359"/>
      <c r="G207" s="3"/>
    </row>
    <row r="208" spans="1:9" customFormat="1">
      <c r="A208" s="350"/>
      <c r="B208" s="350"/>
      <c r="C208" s="350"/>
      <c r="D208" s="1359"/>
      <c r="E208" s="1359"/>
      <c r="F208" s="1359"/>
      <c r="G208" s="3"/>
    </row>
    <row r="209" spans="1:9" customFormat="1">
      <c r="A209" s="350"/>
      <c r="B209" s="350"/>
      <c r="C209" s="350"/>
      <c r="D209" s="1359"/>
      <c r="E209" s="1359"/>
      <c r="F209" s="1359"/>
      <c r="G209" s="3"/>
    </row>
    <row r="210" spans="1:9" customFormat="1">
      <c r="A210" s="350"/>
      <c r="B210" s="350"/>
      <c r="C210" s="350"/>
      <c r="D210" s="1359"/>
      <c r="E210" s="1359"/>
      <c r="F210" s="1359"/>
      <c r="G210" s="3"/>
    </row>
    <row r="211" spans="1:9" customFormat="1">
      <c r="A211" s="350"/>
      <c r="B211" s="350"/>
      <c r="C211" s="350"/>
      <c r="D211" s="3"/>
      <c r="E211" s="3"/>
      <c r="F211" s="3"/>
      <c r="G211" s="3"/>
    </row>
    <row r="212" spans="1:9">
      <c r="A212" s="400"/>
      <c r="B212" s="481" t="s">
        <v>2825</v>
      </c>
      <c r="D212" s="1375" t="s">
        <v>1734</v>
      </c>
      <c r="E212" s="1375"/>
      <c r="F212" s="1375"/>
      <c r="I212" s="486"/>
    </row>
    <row r="213" spans="1:9">
      <c r="A213" s="400"/>
      <c r="B213" s="400"/>
      <c r="D213" s="1373" t="s">
        <v>1867</v>
      </c>
      <c r="E213" s="1373"/>
      <c r="F213" s="1373"/>
      <c r="I213" s="486"/>
    </row>
    <row r="214" spans="1:9">
      <c r="A214" s="400"/>
      <c r="B214" s="400"/>
      <c r="D214" s="57" t="s">
        <v>1735</v>
      </c>
      <c r="E214" s="1419" t="s">
        <v>1891</v>
      </c>
      <c r="F214" s="1419"/>
      <c r="I214" s="486"/>
    </row>
    <row r="215" spans="1:9">
      <c r="A215" s="400"/>
      <c r="B215" s="400"/>
      <c r="D215" s="3"/>
      <c r="E215" s="3"/>
      <c r="F215" s="3"/>
      <c r="I215" s="486"/>
    </row>
    <row r="216" spans="1:9">
      <c r="A216" s="400"/>
      <c r="B216" s="481" t="s">
        <v>2825</v>
      </c>
      <c r="D216" s="1375" t="s">
        <v>1736</v>
      </c>
      <c r="E216" s="1375"/>
      <c r="F216" s="1375"/>
      <c r="I216" s="486"/>
    </row>
    <row r="217" spans="1:9">
      <c r="A217" s="400"/>
      <c r="B217" s="400"/>
      <c r="D217" s="1373" t="s">
        <v>1867</v>
      </c>
      <c r="E217" s="1373"/>
      <c r="F217" s="1373"/>
      <c r="I217" s="486"/>
    </row>
    <row r="218" spans="1:9">
      <c r="A218" s="400"/>
      <c r="B218" s="400"/>
      <c r="D218" s="57" t="s">
        <v>1733</v>
      </c>
      <c r="E218" s="1419" t="s">
        <v>1892</v>
      </c>
      <c r="F218" s="1419"/>
      <c r="I218" s="486"/>
    </row>
    <row r="219" spans="1:9" customFormat="1" ht="14.4">
      <c r="A219" s="175"/>
      <c r="B219" s="175"/>
      <c r="C219" s="350"/>
      <c r="D219" s="1354" t="s">
        <v>2638</v>
      </c>
      <c r="E219" s="1354"/>
      <c r="F219" s="1354"/>
      <c r="G219" s="3"/>
    </row>
    <row r="220" spans="1:9" customFormat="1">
      <c r="A220" s="350"/>
      <c r="B220" s="350"/>
      <c r="C220" s="350"/>
      <c r="D220" s="1354"/>
      <c r="E220" s="1354"/>
      <c r="F220" s="1354"/>
      <c r="G220" s="3"/>
    </row>
    <row r="221" spans="1:9" customFormat="1">
      <c r="A221" s="350"/>
      <c r="B221" s="350"/>
      <c r="C221" s="350"/>
      <c r="D221" s="1354"/>
      <c r="E221" s="1354"/>
      <c r="F221" s="1354"/>
      <c r="G221" s="3"/>
    </row>
    <row r="222" spans="1:9" customFormat="1">
      <c r="A222" s="350"/>
      <c r="B222" s="350"/>
      <c r="C222" s="350"/>
      <c r="D222" s="1354"/>
      <c r="E222" s="1354"/>
      <c r="F222" s="1354"/>
      <c r="G222" s="3"/>
    </row>
    <row r="223" spans="1:9" customFormat="1">
      <c r="A223" s="350"/>
      <c r="B223" s="350"/>
      <c r="C223" s="350"/>
      <c r="D223" s="1354"/>
      <c r="E223" s="1354"/>
      <c r="F223" s="1354"/>
      <c r="G223" s="3"/>
    </row>
    <row r="224" spans="1:9">
      <c r="A224" s="400"/>
      <c r="B224" s="400"/>
      <c r="D224" s="388"/>
      <c r="E224" s="388"/>
      <c r="F224" s="388"/>
      <c r="I224" s="486"/>
    </row>
    <row r="225" spans="1:9" ht="14.25" customHeight="1">
      <c r="A225" s="480"/>
      <c r="B225" s="481" t="s">
        <v>2825</v>
      </c>
      <c r="D225" s="382" t="s">
        <v>1860</v>
      </c>
      <c r="E225" s="381"/>
      <c r="F225" s="381"/>
      <c r="I225" s="486"/>
    </row>
    <row r="226" spans="1:9" ht="14.4">
      <c r="A226" s="480"/>
      <c r="B226" s="480"/>
      <c r="D226" s="1373" t="s">
        <v>1867</v>
      </c>
      <c r="E226" s="1373"/>
      <c r="F226" s="1373"/>
      <c r="I226" s="486"/>
    </row>
    <row r="227" spans="1:9">
      <c r="D227" s="381"/>
      <c r="E227" s="1419" t="s">
        <v>1893</v>
      </c>
      <c r="F227" s="1419"/>
      <c r="I227" s="486"/>
    </row>
    <row r="228" spans="1:9">
      <c r="D228" s="443"/>
      <c r="I228" s="486"/>
    </row>
    <row r="229" spans="1:9">
      <c r="B229" s="481" t="s">
        <v>2825</v>
      </c>
      <c r="D229" s="1375" t="s">
        <v>1737</v>
      </c>
      <c r="E229" s="1375"/>
      <c r="F229" s="1375"/>
      <c r="I229" s="486"/>
    </row>
    <row r="230" spans="1:9">
      <c r="D230" s="1373" t="s">
        <v>1867</v>
      </c>
      <c r="E230" s="1373"/>
      <c r="F230" s="1373"/>
      <c r="I230" s="486"/>
    </row>
    <row r="231" spans="1:9">
      <c r="D231" s="57" t="s">
        <v>1733</v>
      </c>
      <c r="E231" s="1419" t="s">
        <v>1894</v>
      </c>
      <c r="F231" s="1419"/>
      <c r="I231" s="486"/>
    </row>
    <row r="232" spans="1:9">
      <c r="D232" s="447"/>
      <c r="E232" s="447"/>
      <c r="F232" s="447"/>
      <c r="I232" s="486"/>
    </row>
    <row r="233" spans="1:9" ht="14.4">
      <c r="A233" s="480"/>
      <c r="B233" s="481" t="s">
        <v>2825</v>
      </c>
      <c r="D233" s="1394" t="s">
        <v>1213</v>
      </c>
      <c r="E233" s="1394"/>
      <c r="F233" s="1394"/>
      <c r="I233" s="486"/>
    </row>
    <row r="234" spans="1:9" ht="14.4" customHeight="1">
      <c r="A234" s="480"/>
      <c r="B234" s="398"/>
      <c r="D234" s="1394"/>
      <c r="E234" s="1394"/>
      <c r="F234" s="1394"/>
      <c r="I234" s="486"/>
    </row>
    <row r="235" spans="1:9" ht="14.4">
      <c r="A235" s="480"/>
      <c r="D235" s="1394"/>
      <c r="E235" s="1394"/>
      <c r="F235" s="1394"/>
      <c r="I235" s="486"/>
    </row>
    <row r="236" spans="1:9" ht="14.4">
      <c r="A236" s="480"/>
      <c r="D236" s="1394"/>
      <c r="E236" s="1394"/>
      <c r="F236" s="1394"/>
      <c r="I236" s="486"/>
    </row>
    <row r="237" spans="1:9">
      <c r="D237" s="447"/>
      <c r="E237" s="447"/>
      <c r="F237" s="447"/>
      <c r="I237" s="486"/>
    </row>
    <row r="238" spans="1:9" customFormat="1" ht="14.4">
      <c r="A238" s="175"/>
      <c r="B238" s="1261" t="s">
        <v>307</v>
      </c>
      <c r="C238" s="350"/>
      <c r="D238" s="1375" t="s">
        <v>2639</v>
      </c>
      <c r="E238" s="1375"/>
      <c r="F238" s="1375"/>
      <c r="G238" s="3"/>
    </row>
    <row r="239" spans="1:9" customFormat="1" ht="14.4">
      <c r="A239" s="175"/>
      <c r="B239" s="350"/>
      <c r="C239" s="350"/>
      <c r="D239" s="515"/>
      <c r="E239" s="515"/>
      <c r="F239" s="515"/>
      <c r="G239" s="3"/>
    </row>
    <row r="240" spans="1:9">
      <c r="A240" s="1340" t="s">
        <v>1044</v>
      </c>
      <c r="B240" s="1340"/>
      <c r="C240" s="1340"/>
      <c r="D240" s="1340"/>
      <c r="E240" s="1340"/>
      <c r="F240" s="1340"/>
      <c r="G240" s="1340"/>
      <c r="H240" s="1018"/>
      <c r="I240" s="1142"/>
    </row>
    <row r="241" spans="1:9" ht="12" customHeight="1">
      <c r="D241" s="442"/>
      <c r="E241" s="442"/>
      <c r="F241" s="442"/>
      <c r="I241" s="486"/>
    </row>
    <row r="242" spans="1:9">
      <c r="C242" s="482"/>
      <c r="D242" s="1396" t="s">
        <v>208</v>
      </c>
      <c r="E242" s="1396"/>
      <c r="F242" s="1396"/>
      <c r="I242" s="486"/>
    </row>
    <row r="243" spans="1:9">
      <c r="A243" s="478"/>
      <c r="B243" s="478"/>
      <c r="C243" s="478"/>
      <c r="D243" s="1395" t="s">
        <v>1118</v>
      </c>
      <c r="E243" s="1395"/>
      <c r="F243" s="1395"/>
      <c r="I243" s="486"/>
    </row>
    <row r="244" spans="1:9" ht="12" customHeight="1">
      <c r="A244" s="486"/>
      <c r="B244" s="486"/>
      <c r="C244" s="486"/>
      <c r="I244" s="486"/>
    </row>
    <row r="245" spans="1:9" ht="13.65" customHeight="1">
      <c r="A245" s="486"/>
      <c r="C245" s="486"/>
      <c r="D245" s="1396" t="s">
        <v>544</v>
      </c>
      <c r="E245" s="1396"/>
      <c r="F245" s="1396"/>
      <c r="I245" s="486"/>
    </row>
    <row r="246" spans="1:9" ht="14.4">
      <c r="A246" s="480"/>
      <c r="B246" s="481" t="s">
        <v>2824</v>
      </c>
      <c r="D246" s="1394" t="s">
        <v>1738</v>
      </c>
      <c r="E246" s="1394"/>
      <c r="F246" s="1394"/>
      <c r="I246" s="486"/>
    </row>
    <row r="247" spans="1:9" ht="14.25" customHeight="1">
      <c r="A247" s="480"/>
      <c r="B247" s="480"/>
      <c r="D247" s="1394"/>
      <c r="E247" s="1394"/>
      <c r="F247" s="1394"/>
      <c r="I247" s="486"/>
    </row>
    <row r="248" spans="1:9" ht="14.25" customHeight="1">
      <c r="A248" s="480"/>
      <c r="B248" s="480"/>
      <c r="D248" s="1394"/>
      <c r="E248" s="1394"/>
      <c r="F248" s="1394"/>
      <c r="I248" s="486"/>
    </row>
    <row r="249" spans="1:9" ht="14.4">
      <c r="A249" s="480"/>
      <c r="B249" s="480"/>
      <c r="D249" s="1394"/>
      <c r="E249" s="1394"/>
      <c r="F249" s="1394"/>
      <c r="I249" s="486"/>
    </row>
    <row r="250" spans="1:9" ht="14.4">
      <c r="A250" s="480"/>
      <c r="B250" s="480"/>
      <c r="D250" s="441"/>
      <c r="E250" s="441"/>
      <c r="F250" s="441"/>
      <c r="I250" s="486"/>
    </row>
    <row r="251" spans="1:9" ht="14.4">
      <c r="A251" s="480"/>
      <c r="B251" s="481" t="s">
        <v>2824</v>
      </c>
      <c r="D251" s="1394" t="s">
        <v>1739</v>
      </c>
      <c r="E251" s="1394"/>
      <c r="F251" s="1394"/>
      <c r="I251" s="486"/>
    </row>
    <row r="252" spans="1:9" ht="14.4">
      <c r="A252" s="480"/>
      <c r="B252" s="480"/>
      <c r="D252" s="1394"/>
      <c r="E252" s="1394"/>
      <c r="F252" s="1394"/>
      <c r="I252" s="486"/>
    </row>
    <row r="253" spans="1:9" ht="14.4">
      <c r="A253" s="480"/>
      <c r="B253" s="480"/>
      <c r="D253" s="1394"/>
      <c r="E253" s="1394"/>
      <c r="F253" s="1394"/>
      <c r="I253" s="486"/>
    </row>
    <row r="254" spans="1:9" ht="14.4">
      <c r="A254" s="480"/>
      <c r="B254" s="480"/>
      <c r="D254" s="1394"/>
      <c r="E254" s="1394"/>
      <c r="F254" s="1394"/>
      <c r="I254" s="486"/>
    </row>
    <row r="255" spans="1:9" ht="14.25" customHeight="1">
      <c r="A255" s="480"/>
      <c r="B255" s="480"/>
      <c r="D255" s="1394"/>
      <c r="E255" s="1394"/>
      <c r="F255" s="1394"/>
      <c r="I255" s="486"/>
    </row>
    <row r="256" spans="1:9" ht="14.25" customHeight="1">
      <c r="A256" s="480"/>
      <c r="B256" s="480"/>
      <c r="D256" s="441"/>
      <c r="E256" s="441"/>
      <c r="F256" s="441"/>
      <c r="I256" s="486"/>
    </row>
    <row r="257" spans="1:9" ht="14.4">
      <c r="A257" s="480"/>
      <c r="B257" s="480"/>
      <c r="D257" s="1394" t="s">
        <v>1116</v>
      </c>
      <c r="E257" s="1394"/>
      <c r="F257" s="1394"/>
      <c r="I257" s="486"/>
    </row>
    <row r="258" spans="1:9" ht="14.4">
      <c r="A258" s="480"/>
      <c r="B258" s="480"/>
      <c r="D258" s="1394"/>
      <c r="E258" s="1394"/>
      <c r="F258" s="1394"/>
      <c r="I258" s="486"/>
    </row>
    <row r="259" spans="1:9" ht="14.4">
      <c r="A259" s="480"/>
      <c r="B259" s="480"/>
      <c r="D259" s="1394"/>
      <c r="E259" s="1394"/>
      <c r="F259" s="1394"/>
      <c r="I259" s="486"/>
    </row>
    <row r="260" spans="1:9" ht="14.4">
      <c r="A260" s="480"/>
      <c r="B260" s="480"/>
      <c r="D260" s="1394"/>
      <c r="E260" s="1394"/>
      <c r="F260" s="1394"/>
      <c r="I260" s="486"/>
    </row>
    <row r="261" spans="1:9" ht="14.4">
      <c r="A261" s="480"/>
      <c r="B261" s="480"/>
      <c r="D261" s="1394"/>
      <c r="E261" s="1394"/>
      <c r="F261" s="1394"/>
      <c r="I261" s="486"/>
    </row>
    <row r="262" spans="1:9" ht="14.4">
      <c r="A262" s="480"/>
      <c r="B262" s="480"/>
      <c r="D262" s="442"/>
      <c r="E262" s="442"/>
      <c r="F262" s="442"/>
      <c r="I262" s="486"/>
    </row>
    <row r="263" spans="1:9" ht="14.4">
      <c r="A263" s="480"/>
      <c r="B263" s="481" t="s">
        <v>2824</v>
      </c>
      <c r="D263" s="1394" t="s">
        <v>2004</v>
      </c>
      <c r="E263" s="1394"/>
      <c r="F263" s="1394"/>
      <c r="I263" s="486"/>
    </row>
    <row r="264" spans="1:9" ht="14.4">
      <c r="A264" s="480"/>
      <c r="B264" s="480"/>
      <c r="D264" s="1394"/>
      <c r="E264" s="1394"/>
      <c r="F264" s="1394"/>
      <c r="I264" s="486"/>
    </row>
    <row r="265" spans="1:9" ht="14.4">
      <c r="A265" s="480"/>
      <c r="B265" s="480"/>
      <c r="D265" s="1394"/>
      <c r="E265" s="1394"/>
      <c r="F265" s="1394"/>
      <c r="I265" s="486"/>
    </row>
    <row r="266" spans="1:9" ht="14.4">
      <c r="A266" s="480"/>
      <c r="B266" s="480"/>
      <c r="E266" s="1026" t="s">
        <v>1861</v>
      </c>
      <c r="I266" s="486"/>
    </row>
    <row r="267" spans="1:9" ht="14.4">
      <c r="A267" s="480"/>
      <c r="B267" s="480"/>
      <c r="D267" s="442"/>
      <c r="E267" s="442"/>
      <c r="F267" s="442"/>
      <c r="I267" s="486"/>
    </row>
    <row r="268" spans="1:9" ht="14.4" customHeight="1">
      <c r="A268" s="480"/>
      <c r="B268" s="481" t="s">
        <v>2824</v>
      </c>
      <c r="D268" s="1394" t="s">
        <v>2005</v>
      </c>
      <c r="E268" s="1394"/>
      <c r="F268" s="1394"/>
      <c r="I268" s="486"/>
    </row>
    <row r="269" spans="1:9" ht="12.75" customHeight="1">
      <c r="A269" s="480"/>
      <c r="B269" s="480"/>
      <c r="D269" s="1394"/>
      <c r="E269" s="1394"/>
      <c r="F269" s="1394"/>
      <c r="I269" s="486"/>
    </row>
    <row r="270" spans="1:9" ht="14.4">
      <c r="A270" s="480"/>
      <c r="B270" s="480"/>
      <c r="D270" s="1394"/>
      <c r="E270" s="1394"/>
      <c r="F270" s="1394"/>
      <c r="I270" s="486"/>
    </row>
    <row r="271" spans="1:9" ht="14.4">
      <c r="A271" s="480"/>
      <c r="B271" s="480"/>
      <c r="D271" s="1394"/>
      <c r="E271" s="1394"/>
      <c r="F271" s="1394"/>
      <c r="I271" s="486"/>
    </row>
    <row r="272" spans="1:9" ht="14.4">
      <c r="A272" s="480"/>
      <c r="B272" s="480"/>
      <c r="D272" s="1394"/>
      <c r="E272" s="1394"/>
      <c r="F272" s="1394"/>
      <c r="I272" s="486"/>
    </row>
    <row r="273" spans="1:9" ht="14.4">
      <c r="A273" s="480"/>
      <c r="B273" s="480"/>
      <c r="D273" s="441"/>
      <c r="E273" s="441"/>
      <c r="F273" s="441"/>
      <c r="I273" s="486"/>
    </row>
    <row r="274" spans="1:9" ht="14.4">
      <c r="A274" s="480"/>
      <c r="B274" s="481" t="s">
        <v>2824</v>
      </c>
      <c r="D274" s="388" t="s">
        <v>2006</v>
      </c>
      <c r="E274" s="441"/>
      <c r="F274" s="441"/>
      <c r="I274" s="486"/>
    </row>
    <row r="275" spans="1:9" ht="14.4">
      <c r="A275" s="480"/>
      <c r="B275" s="480"/>
      <c r="E275" s="1026" t="s">
        <v>1862</v>
      </c>
      <c r="I275" s="486"/>
    </row>
    <row r="276" spans="1:9">
      <c r="D276" s="442"/>
      <c r="E276" s="442"/>
      <c r="F276" s="442"/>
      <c r="I276" s="486"/>
    </row>
    <row r="277" spans="1:9" ht="14.4">
      <c r="A277" s="480"/>
      <c r="B277" s="481" t="s">
        <v>2824</v>
      </c>
      <c r="D277" s="1394" t="s">
        <v>1117</v>
      </c>
      <c r="E277" s="1394"/>
      <c r="F277" s="1394"/>
      <c r="I277" s="486"/>
    </row>
    <row r="278" spans="1:9" ht="14.4">
      <c r="A278" s="480"/>
      <c r="B278" s="480"/>
      <c r="D278" s="1394"/>
      <c r="E278" s="1394"/>
      <c r="F278" s="1394"/>
      <c r="I278" s="486"/>
    </row>
    <row r="279" spans="1:9">
      <c r="D279" s="487"/>
      <c r="I279" s="486"/>
    </row>
    <row r="280" spans="1:9">
      <c r="A280" s="1340" t="s">
        <v>1045</v>
      </c>
      <c r="B280" s="1340"/>
      <c r="C280" s="1340"/>
      <c r="D280" s="1340"/>
      <c r="E280" s="1340"/>
      <c r="F280" s="1340"/>
      <c r="G280" s="1340"/>
      <c r="H280" s="1018"/>
      <c r="I280" s="1142"/>
    </row>
    <row r="281" spans="1:9">
      <c r="D281" s="487"/>
      <c r="I281" s="486"/>
    </row>
    <row r="282" spans="1:9">
      <c r="C282" s="482"/>
      <c r="D282" s="1396" t="s">
        <v>1119</v>
      </c>
      <c r="E282" s="1396"/>
      <c r="F282" s="1396"/>
      <c r="I282" s="486"/>
    </row>
    <row r="283" spans="1:9">
      <c r="A283" s="478"/>
      <c r="B283" s="478"/>
      <c r="C283" s="478"/>
      <c r="D283" s="442"/>
      <c r="E283" s="442"/>
      <c r="F283" s="442"/>
      <c r="I283" s="486"/>
    </row>
    <row r="284" spans="1:9">
      <c r="A284" s="479"/>
      <c r="B284" s="479"/>
      <c r="C284" s="479"/>
      <c r="D284" s="1396" t="s">
        <v>269</v>
      </c>
      <c r="E284" s="1396"/>
      <c r="F284" s="1396"/>
      <c r="I284" s="486"/>
    </row>
    <row r="285" spans="1:9" ht="14.4" customHeight="1">
      <c r="A285" s="480"/>
      <c r="B285" s="481" t="s">
        <v>2824</v>
      </c>
      <c r="D285" s="1394" t="s">
        <v>1193</v>
      </c>
      <c r="E285" s="1394"/>
      <c r="F285" s="1394"/>
      <c r="I285" s="486"/>
    </row>
    <row r="286" spans="1:9">
      <c r="D286" s="1394"/>
      <c r="E286" s="1394"/>
      <c r="F286" s="1394"/>
      <c r="I286" s="486"/>
    </row>
    <row r="287" spans="1:9">
      <c r="E287" s="1026" t="s">
        <v>1863</v>
      </c>
      <c r="I287" s="486"/>
    </row>
    <row r="288" spans="1:9">
      <c r="D288" s="442"/>
      <c r="E288" s="442"/>
      <c r="F288" s="442"/>
      <c r="I288" s="486"/>
    </row>
    <row r="289" spans="1:9" ht="14.4" customHeight="1">
      <c r="A289" s="480"/>
      <c r="B289" s="481" t="s">
        <v>2825</v>
      </c>
      <c r="D289" s="1394" t="s">
        <v>2007</v>
      </c>
      <c r="E289" s="1394"/>
      <c r="F289" s="1394"/>
      <c r="I289" s="486"/>
    </row>
    <row r="290" spans="1:9">
      <c r="D290" s="1394"/>
      <c r="E290" s="1394"/>
      <c r="F290" s="1394"/>
      <c r="I290" s="486"/>
    </row>
    <row r="291" spans="1:9">
      <c r="D291" s="1394"/>
      <c r="E291" s="1394"/>
      <c r="F291" s="1394"/>
      <c r="I291" s="486"/>
    </row>
    <row r="292" spans="1:9">
      <c r="D292" s="1394"/>
      <c r="E292" s="1394"/>
      <c r="F292" s="1394"/>
      <c r="I292" s="486"/>
    </row>
    <row r="293" spans="1:9">
      <c r="D293" s="1394"/>
      <c r="E293" s="1394"/>
      <c r="F293" s="1394"/>
      <c r="I293" s="486"/>
    </row>
    <row r="294" spans="1:9">
      <c r="D294" s="1394"/>
      <c r="E294" s="1394"/>
      <c r="F294" s="1394"/>
      <c r="I294" s="486"/>
    </row>
    <row r="295" spans="1:9">
      <c r="D295" s="442"/>
      <c r="E295" s="442"/>
      <c r="F295" s="442"/>
      <c r="I295" s="486"/>
    </row>
    <row r="296" spans="1:9" ht="14.4">
      <c r="A296" s="480"/>
      <c r="B296" s="481" t="s">
        <v>2825</v>
      </c>
      <c r="D296" s="1394" t="s">
        <v>1120</v>
      </c>
      <c r="E296" s="1394"/>
      <c r="F296" s="1394"/>
      <c r="I296" s="486"/>
    </row>
    <row r="297" spans="1:9">
      <c r="D297" s="1394"/>
      <c r="E297" s="1394"/>
      <c r="F297" s="1394"/>
      <c r="I297" s="486"/>
    </row>
    <row r="298" spans="1:9">
      <c r="D298" s="1394"/>
      <c r="E298" s="1394"/>
      <c r="F298" s="1394"/>
      <c r="I298" s="486"/>
    </row>
    <row r="299" spans="1:9">
      <c r="D299" s="488"/>
      <c r="E299" s="442"/>
      <c r="F299" s="442"/>
      <c r="I299" s="486"/>
    </row>
    <row r="300" spans="1:9">
      <c r="A300" s="1340" t="s">
        <v>1046</v>
      </c>
      <c r="B300" s="1340"/>
      <c r="C300" s="1340"/>
      <c r="D300" s="1340"/>
      <c r="E300" s="1340"/>
      <c r="F300" s="1340"/>
      <c r="G300" s="1340"/>
      <c r="H300" s="1018"/>
      <c r="I300" s="1142"/>
    </row>
    <row r="301" spans="1:9">
      <c r="D301" s="488"/>
      <c r="E301" s="442"/>
      <c r="F301" s="442"/>
      <c r="I301" s="486"/>
    </row>
    <row r="302" spans="1:9">
      <c r="C302" s="478"/>
      <c r="D302" s="1412" t="s">
        <v>1121</v>
      </c>
      <c r="E302" s="1412"/>
      <c r="F302" s="1412"/>
      <c r="I302" s="486"/>
    </row>
    <row r="303" spans="1:9">
      <c r="C303" s="478"/>
      <c r="D303" s="1412"/>
      <c r="E303" s="1412"/>
      <c r="F303" s="1412"/>
      <c r="I303" s="486"/>
    </row>
    <row r="304" spans="1:9">
      <c r="A304" s="479"/>
      <c r="B304" s="479"/>
      <c r="C304" s="479"/>
      <c r="D304" s="400"/>
      <c r="I304" s="486"/>
    </row>
    <row r="305" spans="1:9">
      <c r="C305" s="479"/>
      <c r="D305" s="1396" t="s">
        <v>209</v>
      </c>
      <c r="E305" s="1396"/>
      <c r="F305" s="1396"/>
      <c r="I305" s="486"/>
    </row>
    <row r="306" spans="1:9" ht="15.75" customHeight="1">
      <c r="A306" s="480"/>
      <c r="B306" s="480"/>
      <c r="D306" s="1420" t="s">
        <v>1122</v>
      </c>
      <c r="E306" s="1420"/>
      <c r="F306" s="1420"/>
      <c r="I306" s="486"/>
    </row>
    <row r="307" spans="1:9">
      <c r="E307" s="442"/>
      <c r="F307" s="442"/>
      <c r="I307" s="486"/>
    </row>
    <row r="308" spans="1:9" ht="14.4">
      <c r="A308" s="480"/>
      <c r="B308" s="481" t="s">
        <v>2825</v>
      </c>
      <c r="D308" s="1394" t="s">
        <v>1123</v>
      </c>
      <c r="E308" s="1394"/>
      <c r="F308" s="1394"/>
      <c r="I308" s="486"/>
    </row>
    <row r="309" spans="1:9" ht="14.4">
      <c r="A309" s="480"/>
      <c r="B309" s="480"/>
      <c r="D309" s="1394"/>
      <c r="E309" s="1394"/>
      <c r="F309" s="1394"/>
      <c r="I309" s="486"/>
    </row>
    <row r="310" spans="1:9">
      <c r="D310" s="442"/>
      <c r="E310" s="442"/>
      <c r="F310" s="442"/>
      <c r="I310" s="486"/>
    </row>
    <row r="311" spans="1:9" ht="14.4">
      <c r="A311" s="480"/>
      <c r="B311" s="481" t="s">
        <v>2825</v>
      </c>
      <c r="D311" s="1394" t="s">
        <v>2640</v>
      </c>
      <c r="E311" s="1394"/>
      <c r="F311" s="1394"/>
      <c r="I311" s="486"/>
    </row>
    <row r="312" spans="1:9" ht="14.4">
      <c r="A312" s="480"/>
      <c r="B312" s="480"/>
      <c r="D312" s="1394"/>
      <c r="E312" s="1394"/>
      <c r="F312" s="1394"/>
      <c r="I312" s="486"/>
    </row>
    <row r="313" spans="1:9" ht="14.4">
      <c r="A313" s="480"/>
      <c r="B313" s="480"/>
      <c r="D313" s="1394"/>
      <c r="E313" s="1394"/>
      <c r="F313" s="1394"/>
      <c r="I313" s="486"/>
    </row>
    <row r="314" spans="1:9">
      <c r="D314" s="442"/>
      <c r="E314" s="442"/>
      <c r="F314" s="442"/>
      <c r="I314" s="486"/>
    </row>
    <row r="315" spans="1:9" ht="14.4">
      <c r="A315" s="480"/>
      <c r="B315" s="481" t="s">
        <v>2825</v>
      </c>
      <c r="D315" s="1394" t="s">
        <v>1124</v>
      </c>
      <c r="E315" s="1394"/>
      <c r="F315" s="1394"/>
      <c r="I315" s="486"/>
    </row>
    <row r="316" spans="1:9" ht="14.4">
      <c r="A316" s="480"/>
      <c r="B316" s="480"/>
      <c r="D316" s="1394"/>
      <c r="E316" s="1394"/>
      <c r="F316" s="1394"/>
      <c r="I316" s="486"/>
    </row>
    <row r="317" spans="1:9">
      <c r="A317" s="486"/>
      <c r="B317" s="486"/>
      <c r="E317" s="442"/>
      <c r="F317" s="442"/>
      <c r="I317" s="486"/>
    </row>
    <row r="318" spans="1:9">
      <c r="A318" s="1340" t="s">
        <v>1047</v>
      </c>
      <c r="B318" s="1340"/>
      <c r="C318" s="1340"/>
      <c r="D318" s="1340"/>
      <c r="E318" s="1340"/>
      <c r="F318" s="1340"/>
      <c r="G318" s="1340"/>
      <c r="H318" s="1018"/>
      <c r="I318" s="1142"/>
    </row>
    <row r="319" spans="1:9">
      <c r="A319" s="486"/>
      <c r="B319" s="486"/>
      <c r="D319" s="442"/>
      <c r="E319" s="442"/>
      <c r="F319" s="442"/>
      <c r="I319" s="486"/>
    </row>
    <row r="320" spans="1:9">
      <c r="C320" s="486"/>
      <c r="D320" s="1396" t="s">
        <v>680</v>
      </c>
      <c r="E320" s="1396"/>
      <c r="F320" s="1396"/>
      <c r="I320" s="486"/>
    </row>
    <row r="321" spans="1:9">
      <c r="C321" s="486"/>
      <c r="D321" s="1395" t="s">
        <v>1125</v>
      </c>
      <c r="E321" s="1395"/>
      <c r="F321" s="1395"/>
      <c r="I321" s="486"/>
    </row>
    <row r="322" spans="1:9">
      <c r="C322" s="486"/>
      <c r="D322" s="489"/>
      <c r="I322" s="486"/>
    </row>
    <row r="323" spans="1:9">
      <c r="B323" s="481" t="s">
        <v>2825</v>
      </c>
      <c r="D323" s="1395" t="s">
        <v>1126</v>
      </c>
      <c r="E323" s="1395"/>
      <c r="F323" s="1395"/>
      <c r="I323" s="486"/>
    </row>
    <row r="324" spans="1:9" ht="14.4">
      <c r="A324" s="480"/>
      <c r="B324" s="480"/>
      <c r="D324" s="490"/>
      <c r="E324" s="491"/>
      <c r="F324" s="491"/>
      <c r="I324" s="486"/>
    </row>
    <row r="325" spans="1:9" ht="13.65" customHeight="1">
      <c r="B325" s="481" t="s">
        <v>2825</v>
      </c>
      <c r="D325" s="1406" t="s">
        <v>1216</v>
      </c>
      <c r="E325" s="1406"/>
      <c r="F325" s="1406"/>
      <c r="I325" s="486"/>
    </row>
    <row r="326" spans="1:9" ht="14.4">
      <c r="A326" s="480"/>
      <c r="B326" s="480"/>
      <c r="D326" s="1406"/>
      <c r="E326" s="1406"/>
      <c r="F326" s="1406"/>
      <c r="I326" s="486"/>
    </row>
    <row r="327" spans="1:9" ht="14.4">
      <c r="A327" s="480"/>
      <c r="B327" s="480"/>
      <c r="D327" s="1406"/>
      <c r="E327" s="1406"/>
      <c r="F327" s="1406"/>
      <c r="I327" s="486"/>
    </row>
    <row r="328" spans="1:9" ht="14.4">
      <c r="A328" s="480"/>
      <c r="B328" s="480"/>
      <c r="D328" s="1406"/>
      <c r="E328" s="1406"/>
      <c r="F328" s="1406"/>
      <c r="I328" s="486"/>
    </row>
    <row r="329" spans="1:9" ht="14.4">
      <c r="A329" s="480"/>
      <c r="B329" s="480"/>
      <c r="D329" s="1406"/>
      <c r="E329" s="1406"/>
      <c r="F329" s="1406"/>
      <c r="I329" s="486"/>
    </row>
    <row r="330" spans="1:9" ht="14.4">
      <c r="A330" s="480"/>
      <c r="B330" s="480"/>
      <c r="D330" s="490"/>
      <c r="E330" s="491"/>
      <c r="F330" s="491"/>
      <c r="I330" s="486"/>
    </row>
    <row r="331" spans="1:9" ht="13.65" customHeight="1">
      <c r="B331" s="481" t="s">
        <v>2825</v>
      </c>
      <c r="D331" s="1406" t="s">
        <v>1127</v>
      </c>
      <c r="E331" s="1406"/>
      <c r="F331" s="1406"/>
      <c r="I331" s="486"/>
    </row>
    <row r="332" spans="1:9">
      <c r="D332" s="1406"/>
      <c r="E332" s="1406"/>
      <c r="F332" s="1406"/>
      <c r="I332" s="486"/>
    </row>
    <row r="333" spans="1:9" ht="14.4">
      <c r="A333" s="480"/>
      <c r="B333" s="480"/>
      <c r="D333" s="490"/>
      <c r="E333" s="491"/>
      <c r="F333" s="491"/>
      <c r="I333" s="486"/>
    </row>
    <row r="334" spans="1:9">
      <c r="B334" s="481" t="s">
        <v>2825</v>
      </c>
      <c r="D334" s="1395" t="s">
        <v>1128</v>
      </c>
      <c r="E334" s="1395"/>
      <c r="F334" s="1395"/>
      <c r="I334" s="486"/>
    </row>
    <row r="335" spans="1:9">
      <c r="E335" s="442"/>
      <c r="F335" s="442"/>
      <c r="I335" s="486"/>
    </row>
    <row r="336" spans="1:9" ht="14.4">
      <c r="A336" s="480"/>
      <c r="B336" s="481" t="s">
        <v>2825</v>
      </c>
      <c r="D336" s="1394" t="s">
        <v>2190</v>
      </c>
      <c r="E336" s="1394"/>
      <c r="F336" s="1394"/>
      <c r="I336" s="486"/>
    </row>
    <row r="337" spans="1:9" ht="14.4">
      <c r="A337" s="480"/>
      <c r="B337" s="480"/>
      <c r="D337" s="1394"/>
      <c r="E337" s="1394"/>
      <c r="F337" s="1394"/>
      <c r="I337" s="486"/>
    </row>
    <row r="338" spans="1:9" ht="14.4">
      <c r="A338" s="480"/>
      <c r="B338" s="480"/>
      <c r="D338" s="1394"/>
      <c r="E338" s="1394"/>
      <c r="F338" s="1394"/>
      <c r="I338" s="486"/>
    </row>
    <row r="339" spans="1:9" ht="14.4">
      <c r="A339" s="480"/>
      <c r="B339" s="480"/>
      <c r="D339" s="1394"/>
      <c r="E339" s="1394"/>
      <c r="F339" s="1394"/>
      <c r="I339" s="486"/>
    </row>
    <row r="340" spans="1:9" ht="14.4">
      <c r="A340" s="480"/>
      <c r="B340" s="480"/>
      <c r="D340" s="1394"/>
      <c r="E340" s="1394"/>
      <c r="F340" s="1394"/>
      <c r="I340" s="486"/>
    </row>
    <row r="341" spans="1:9" ht="14.4">
      <c r="A341" s="480"/>
      <c r="B341" s="480"/>
      <c r="D341" s="1394"/>
      <c r="E341" s="1394"/>
      <c r="F341" s="1394"/>
      <c r="I341" s="486"/>
    </row>
    <row r="342" spans="1:9" ht="14.4">
      <c r="A342" s="480"/>
      <c r="B342" s="480"/>
      <c r="D342" s="1394"/>
      <c r="E342" s="1394"/>
      <c r="F342" s="1394"/>
      <c r="I342" s="486"/>
    </row>
    <row r="343" spans="1:9" ht="14.4">
      <c r="A343" s="480"/>
      <c r="B343" s="480"/>
      <c r="D343" s="1394"/>
      <c r="E343" s="1394"/>
      <c r="F343" s="1394"/>
      <c r="I343" s="486"/>
    </row>
    <row r="344" spans="1:9" ht="14.4">
      <c r="A344" s="480"/>
      <c r="B344" s="480"/>
      <c r="D344" s="1394"/>
      <c r="E344" s="1394"/>
      <c r="F344" s="1394"/>
      <c r="I344" s="486"/>
    </row>
    <row r="345" spans="1:9" ht="14.4">
      <c r="A345" s="480"/>
      <c r="B345" s="480"/>
      <c r="D345" s="1394"/>
      <c r="E345" s="1394"/>
      <c r="F345" s="1394"/>
      <c r="I345" s="486"/>
    </row>
    <row r="346" spans="1:9" ht="14.4">
      <c r="A346" s="480"/>
      <c r="B346" s="480"/>
      <c r="D346" s="1394"/>
      <c r="E346" s="1394"/>
      <c r="F346" s="1394"/>
      <c r="I346" s="486"/>
    </row>
    <row r="347" spans="1:9" ht="14.4">
      <c r="A347" s="480"/>
      <c r="B347" s="480"/>
      <c r="D347" s="1394"/>
      <c r="E347" s="1394"/>
      <c r="F347" s="1394"/>
      <c r="I347" s="486"/>
    </row>
    <row r="348" spans="1:9" ht="14.4">
      <c r="A348" s="480"/>
      <c r="B348" s="480"/>
      <c r="D348" s="1394"/>
      <c r="E348" s="1394"/>
      <c r="F348" s="1394"/>
      <c r="I348" s="486"/>
    </row>
    <row r="349" spans="1:9" ht="14.4">
      <c r="A349" s="480"/>
      <c r="B349" s="480"/>
      <c r="D349" s="1394"/>
      <c r="E349" s="1394"/>
      <c r="F349" s="1394"/>
      <c r="I349" s="486"/>
    </row>
    <row r="350" spans="1:9" ht="14.4">
      <c r="A350" s="480"/>
      <c r="B350" s="480"/>
      <c r="D350" s="1394"/>
      <c r="E350" s="1394"/>
      <c r="F350" s="1394"/>
      <c r="I350" s="486"/>
    </row>
    <row r="351" spans="1:9">
      <c r="D351" s="442"/>
      <c r="E351" s="442"/>
      <c r="F351" s="442"/>
      <c r="I351" s="486"/>
    </row>
    <row r="352" spans="1:9" ht="14.4">
      <c r="A352" s="480"/>
      <c r="B352" s="481" t="s">
        <v>2825</v>
      </c>
      <c r="D352" s="1394" t="s">
        <v>1129</v>
      </c>
      <c r="E352" s="1394"/>
      <c r="F352" s="1394"/>
      <c r="I352" s="486"/>
    </row>
    <row r="353" spans="1:9">
      <c r="D353" s="1394"/>
      <c r="E353" s="1394"/>
      <c r="F353" s="1394"/>
      <c r="I353" s="486"/>
    </row>
    <row r="354" spans="1:9">
      <c r="D354" s="1394"/>
      <c r="E354" s="1394"/>
      <c r="F354" s="1394"/>
      <c r="I354" s="486"/>
    </row>
    <row r="355" spans="1:9">
      <c r="D355" s="1394"/>
      <c r="E355" s="1394"/>
      <c r="F355" s="1394"/>
      <c r="I355" s="486"/>
    </row>
    <row r="356" spans="1:9">
      <c r="D356" s="1394"/>
      <c r="E356" s="1394"/>
      <c r="F356" s="1394"/>
      <c r="I356" s="486"/>
    </row>
    <row r="357" spans="1:9">
      <c r="D357" s="1394"/>
      <c r="E357" s="1394"/>
      <c r="F357" s="1394"/>
      <c r="I357" s="486"/>
    </row>
    <row r="358" spans="1:9">
      <c r="D358" s="1394"/>
      <c r="E358" s="1394"/>
      <c r="F358" s="1394"/>
      <c r="I358" s="486"/>
    </row>
    <row r="359" spans="1:9">
      <c r="D359" s="1394"/>
      <c r="E359" s="1394"/>
      <c r="F359" s="1394"/>
      <c r="I359" s="486"/>
    </row>
    <row r="360" spans="1:9">
      <c r="D360" s="1394"/>
      <c r="E360" s="1394"/>
      <c r="F360" s="1394"/>
      <c r="I360" s="486"/>
    </row>
    <row r="361" spans="1:9">
      <c r="D361" s="442"/>
      <c r="E361" s="442"/>
      <c r="F361" s="442"/>
      <c r="I361" s="486"/>
    </row>
    <row r="362" spans="1:9" ht="14.25" customHeight="1">
      <c r="A362" s="480"/>
      <c r="B362" s="481" t="s">
        <v>2825</v>
      </c>
      <c r="D362" s="1394" t="s">
        <v>1868</v>
      </c>
      <c r="E362" s="1394"/>
      <c r="F362" s="1394"/>
      <c r="I362" s="486"/>
    </row>
    <row r="363" spans="1:9">
      <c r="D363" s="1394"/>
      <c r="E363" s="1394"/>
      <c r="F363" s="1394"/>
      <c r="I363" s="486"/>
    </row>
    <row r="364" spans="1:9">
      <c r="D364" s="1394"/>
      <c r="E364" s="1394"/>
      <c r="F364" s="1394"/>
      <c r="I364" s="486"/>
    </row>
    <row r="365" spans="1:9">
      <c r="D365" s="1394"/>
      <c r="E365" s="1394"/>
      <c r="F365" s="1394"/>
      <c r="I365" s="486"/>
    </row>
    <row r="366" spans="1:9">
      <c r="D366" s="382" t="s">
        <v>1867</v>
      </c>
      <c r="E366" s="381"/>
      <c r="F366" s="381"/>
      <c r="I366" s="486"/>
    </row>
    <row r="367" spans="1:9">
      <c r="D367" s="381"/>
      <c r="E367" s="96" t="s">
        <v>1864</v>
      </c>
      <c r="G367" s="96"/>
      <c r="I367" s="486"/>
    </row>
    <row r="368" spans="1:9">
      <c r="D368" s="441"/>
      <c r="E368" s="441"/>
      <c r="F368" s="441"/>
      <c r="I368" s="486"/>
    </row>
    <row r="369" spans="1:9" ht="13.8" thickBot="1">
      <c r="A369" s="1012"/>
      <c r="B369" s="1012"/>
      <c r="C369" s="1012"/>
      <c r="D369" s="1404" t="s">
        <v>977</v>
      </c>
      <c r="E369" s="1404"/>
      <c r="F369" s="1404"/>
      <c r="G369" s="1017"/>
      <c r="H369" s="1017"/>
      <c r="I369" s="1145"/>
    </row>
    <row r="370" spans="1:9" ht="13.8" thickTop="1">
      <c r="D370" s="1413" t="s">
        <v>2191</v>
      </c>
      <c r="E370" s="1413"/>
      <c r="F370" s="1413"/>
      <c r="I370" s="486"/>
    </row>
    <row r="371" spans="1:9">
      <c r="D371" s="442"/>
      <c r="E371" s="442"/>
      <c r="F371" s="442"/>
      <c r="I371" s="486"/>
    </row>
    <row r="372" spans="1:9">
      <c r="A372" s="472"/>
      <c r="B372" s="472"/>
      <c r="C372" s="472"/>
      <c r="D372" s="443"/>
      <c r="E372" s="443"/>
      <c r="F372" s="442"/>
      <c r="I372" s="486"/>
    </row>
    <row r="373" spans="1:9" ht="14.4">
      <c r="A373" s="480"/>
      <c r="B373" s="481" t="s">
        <v>2825</v>
      </c>
      <c r="C373" s="483"/>
      <c r="D373" s="1395" t="s">
        <v>1866</v>
      </c>
      <c r="E373" s="1395"/>
      <c r="F373" s="1395"/>
      <c r="I373" s="486"/>
    </row>
    <row r="374" spans="1:9" ht="12.75" customHeight="1">
      <c r="D374" s="1027"/>
      <c r="E374" s="96" t="s">
        <v>1865</v>
      </c>
      <c r="F374" s="1027"/>
      <c r="I374" s="486"/>
    </row>
    <row r="375" spans="1:9">
      <c r="D375" s="1394" t="s">
        <v>1236</v>
      </c>
      <c r="E375" s="1394"/>
      <c r="F375" s="1394"/>
      <c r="I375" s="486"/>
    </row>
    <row r="376" spans="1:9">
      <c r="D376" s="1394"/>
      <c r="E376" s="1394"/>
      <c r="F376" s="1394"/>
      <c r="I376" s="486"/>
    </row>
    <row r="377" spans="1:9">
      <c r="D377" s="1394"/>
      <c r="E377" s="1394"/>
      <c r="F377" s="1394"/>
      <c r="I377" s="486"/>
    </row>
    <row r="378" spans="1:9" ht="14.4">
      <c r="A378" s="480"/>
      <c r="B378" s="481" t="s">
        <v>2825</v>
      </c>
      <c r="C378" s="472"/>
      <c r="D378" s="1403" t="s">
        <v>2008</v>
      </c>
      <c r="E378" s="1403"/>
      <c r="F378" s="1403"/>
      <c r="I378" s="476"/>
    </row>
    <row r="379" spans="1:9">
      <c r="A379" s="472"/>
      <c r="B379" s="472"/>
      <c r="C379" s="472"/>
      <c r="D379" s="443"/>
      <c r="E379" s="443"/>
      <c r="F379" s="442"/>
      <c r="I379" s="486"/>
    </row>
    <row r="380" spans="1:9">
      <c r="A380" s="472"/>
      <c r="B380" s="481" t="s">
        <v>2825</v>
      </c>
      <c r="C380" s="472"/>
      <c r="D380" s="1364" t="s">
        <v>2009</v>
      </c>
      <c r="E380" s="1364"/>
      <c r="F380" s="1364"/>
      <c r="I380" s="486"/>
    </row>
    <row r="381" spans="1:9">
      <c r="A381" s="472"/>
      <c r="B381" s="472"/>
      <c r="C381" s="472"/>
      <c r="D381" s="1364"/>
      <c r="E381" s="1364"/>
      <c r="F381" s="1364"/>
      <c r="I381" s="486"/>
    </row>
    <row r="382" spans="1:9">
      <c r="A382" s="472"/>
      <c r="B382" s="472"/>
      <c r="C382" s="472"/>
      <c r="D382" s="1364"/>
      <c r="E382" s="1364"/>
      <c r="F382" s="1364"/>
      <c r="I382" s="486"/>
    </row>
    <row r="383" spans="1:9">
      <c r="A383" s="472"/>
      <c r="B383" s="472"/>
      <c r="C383" s="472"/>
      <c r="D383" s="1364"/>
      <c r="E383" s="1364"/>
      <c r="F383" s="1364"/>
      <c r="I383" s="486"/>
    </row>
    <row r="384" spans="1:9">
      <c r="A384" s="472"/>
      <c r="B384" s="472"/>
      <c r="C384" s="472"/>
      <c r="D384" s="1364"/>
      <c r="E384" s="1364"/>
      <c r="F384" s="1364"/>
      <c r="I384" s="486"/>
    </row>
    <row r="385" spans="1:9">
      <c r="A385" s="472"/>
      <c r="B385" s="472"/>
      <c r="C385" s="472"/>
      <c r="D385" s="1364"/>
      <c r="E385" s="1364"/>
      <c r="F385" s="1364"/>
      <c r="I385" s="486"/>
    </row>
    <row r="386" spans="1:9">
      <c r="A386" s="472"/>
      <c r="B386" s="472"/>
      <c r="C386" s="472"/>
      <c r="D386" s="1364"/>
      <c r="E386" s="1364"/>
      <c r="F386" s="1364"/>
      <c r="I386" s="486"/>
    </row>
    <row r="387" spans="1:9">
      <c r="A387" s="472"/>
      <c r="B387" s="472"/>
      <c r="C387" s="472"/>
      <c r="D387" s="1364"/>
      <c r="E387" s="1364"/>
      <c r="F387" s="1364"/>
      <c r="I387" s="486"/>
    </row>
    <row r="388" spans="1:9">
      <c r="A388" s="472"/>
      <c r="B388" s="472"/>
      <c r="C388" s="472"/>
      <c r="D388" s="1364"/>
      <c r="E388" s="1364"/>
      <c r="F388" s="1364"/>
      <c r="I388" s="486"/>
    </row>
    <row r="389" spans="1:9">
      <c r="A389" s="472"/>
      <c r="B389" s="472"/>
      <c r="C389" s="472"/>
      <c r="D389" s="1364"/>
      <c r="E389" s="1364"/>
      <c r="F389" s="1364"/>
      <c r="I389" s="486"/>
    </row>
    <row r="390" spans="1:9">
      <c r="A390" s="472"/>
      <c r="B390" s="472"/>
      <c r="C390" s="472"/>
      <c r="D390" s="1364"/>
      <c r="E390" s="1364"/>
      <c r="F390" s="1364"/>
      <c r="I390" s="486"/>
    </row>
    <row r="391" spans="1:9">
      <c r="A391" s="472"/>
      <c r="B391" s="472"/>
      <c r="C391" s="472"/>
      <c r="D391" s="1364"/>
      <c r="E391" s="1364"/>
      <c r="F391" s="1364"/>
      <c r="I391" s="486"/>
    </row>
    <row r="392" spans="1:9">
      <c r="A392" s="472"/>
      <c r="B392" s="472"/>
      <c r="C392" s="472"/>
      <c r="D392" s="447"/>
      <c r="E392" s="447"/>
      <c r="F392" s="447"/>
      <c r="I392" s="486"/>
    </row>
    <row r="393" spans="1:9" ht="12.45" customHeight="1">
      <c r="A393" s="472"/>
      <c r="B393" s="481" t="s">
        <v>2825</v>
      </c>
      <c r="C393" s="472"/>
      <c r="D393" s="1372" t="s">
        <v>1218</v>
      </c>
      <c r="E393" s="1372"/>
      <c r="F393" s="1372"/>
      <c r="I393" s="486"/>
    </row>
    <row r="394" spans="1:9">
      <c r="A394" s="472"/>
      <c r="B394" s="472"/>
      <c r="C394" s="472"/>
      <c r="D394" s="1372"/>
      <c r="E394" s="1372"/>
      <c r="F394" s="1372"/>
      <c r="I394" s="486"/>
    </row>
    <row r="395" spans="1:9">
      <c r="A395" s="472"/>
      <c r="B395" s="472"/>
      <c r="C395" s="472"/>
      <c r="D395" s="1372"/>
      <c r="E395" s="1372"/>
      <c r="F395" s="1372"/>
      <c r="I395" s="486"/>
    </row>
    <row r="396" spans="1:9">
      <c r="A396" s="472"/>
      <c r="B396" s="472"/>
      <c r="C396" s="472"/>
      <c r="D396" s="1372"/>
      <c r="E396" s="1372"/>
      <c r="F396" s="1372"/>
      <c r="I396" s="486"/>
    </row>
    <row r="397" spans="1:9">
      <c r="A397" s="472"/>
      <c r="B397" s="472"/>
      <c r="C397" s="472"/>
      <c r="D397" s="520"/>
      <c r="E397" s="520"/>
      <c r="F397" s="520"/>
      <c r="I397" s="486"/>
    </row>
    <row r="398" spans="1:9">
      <c r="A398" s="472"/>
      <c r="B398" s="481" t="s">
        <v>2825</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ht="14.4">
      <c r="A405" s="480"/>
      <c r="B405" s="481" t="s">
        <v>2825</v>
      </c>
      <c r="C405" s="472"/>
      <c r="D405" s="1364" t="s">
        <v>1130</v>
      </c>
      <c r="E405" s="1364"/>
      <c r="F405" s="1364"/>
      <c r="I405" s="486"/>
    </row>
    <row r="406" spans="1:9">
      <c r="A406" s="472"/>
      <c r="B406" s="472"/>
      <c r="C406" s="472"/>
      <c r="D406" s="1364"/>
      <c r="E406" s="1364"/>
      <c r="F406" s="1364"/>
      <c r="I406" s="486"/>
    </row>
    <row r="407" spans="1:9">
      <c r="A407" s="472"/>
      <c r="B407" s="472"/>
      <c r="C407" s="472"/>
      <c r="D407" s="1364"/>
      <c r="E407" s="1364"/>
      <c r="F407" s="1364"/>
      <c r="I407" s="486"/>
    </row>
    <row r="408" spans="1:9">
      <c r="A408" s="472"/>
      <c r="B408" s="472"/>
      <c r="C408" s="472"/>
      <c r="D408" s="1364"/>
      <c r="E408" s="1364"/>
      <c r="F408" s="1364"/>
      <c r="I408" s="486"/>
    </row>
    <row r="409" spans="1:9">
      <c r="A409" s="472"/>
      <c r="B409" s="472"/>
      <c r="C409" s="472"/>
      <c r="D409" s="443"/>
      <c r="E409" s="443"/>
      <c r="F409" s="442"/>
      <c r="I409" s="486"/>
    </row>
    <row r="410" spans="1:9">
      <c r="A410" s="472"/>
      <c r="B410" s="472"/>
      <c r="C410" s="472"/>
      <c r="D410" s="1364" t="s">
        <v>1131</v>
      </c>
      <c r="E410" s="1364"/>
      <c r="F410" s="1364"/>
      <c r="I410" s="486"/>
    </row>
    <row r="411" spans="1:9">
      <c r="A411" s="472"/>
      <c r="B411" s="472"/>
      <c r="C411" s="472"/>
      <c r="D411" s="1364"/>
      <c r="E411" s="1364"/>
      <c r="F411" s="1364"/>
      <c r="I411" s="486"/>
    </row>
    <row r="412" spans="1:9">
      <c r="A412" s="472"/>
      <c r="B412" s="472"/>
      <c r="C412" s="472"/>
      <c r="D412" s="1364"/>
      <c r="E412" s="1364"/>
      <c r="F412" s="1364"/>
      <c r="I412" s="486"/>
    </row>
    <row r="413" spans="1:9">
      <c r="A413" s="472"/>
      <c r="B413" s="472"/>
      <c r="C413" s="472"/>
      <c r="D413" s="1364"/>
      <c r="E413" s="1364"/>
      <c r="F413" s="1364"/>
      <c r="I413" s="486"/>
    </row>
    <row r="414" spans="1:9" ht="18" customHeight="1">
      <c r="A414" s="472"/>
      <c r="B414" s="472"/>
      <c r="C414" s="472"/>
      <c r="D414" s="1364"/>
      <c r="E414" s="1364"/>
      <c r="F414" s="1364"/>
      <c r="I414" s="486"/>
    </row>
    <row r="415" spans="1:9">
      <c r="A415" s="472"/>
      <c r="B415" s="472"/>
      <c r="C415" s="472"/>
      <c r="D415" s="1364"/>
      <c r="E415" s="1364"/>
      <c r="F415" s="1364"/>
      <c r="I415" s="486"/>
    </row>
    <row r="416" spans="1:9">
      <c r="A416" s="472"/>
      <c r="B416" s="472"/>
      <c r="C416" s="472"/>
      <c r="D416" s="1364"/>
      <c r="E416" s="1364"/>
      <c r="F416" s="1364"/>
      <c r="I416" s="486"/>
    </row>
    <row r="417" spans="1:9">
      <c r="A417" s="472"/>
      <c r="B417" s="472"/>
      <c r="C417" s="472"/>
      <c r="D417" s="1364"/>
      <c r="E417" s="1364"/>
      <c r="F417" s="1364"/>
      <c r="I417" s="486"/>
    </row>
    <row r="418" spans="1:9" ht="8.25" customHeight="1">
      <c r="A418" s="472"/>
      <c r="B418" s="472"/>
      <c r="C418" s="472"/>
      <c r="D418" s="1364"/>
      <c r="E418" s="1364"/>
      <c r="F418" s="1364"/>
      <c r="I418" s="486"/>
    </row>
    <row r="419" spans="1:9" ht="13.65" customHeight="1">
      <c r="A419" s="472"/>
      <c r="B419" s="472"/>
      <c r="C419" s="472"/>
      <c r="D419" s="1364" t="s">
        <v>1132</v>
      </c>
      <c r="E419" s="1364"/>
      <c r="F419" s="1364"/>
      <c r="I419" s="486"/>
    </row>
    <row r="420" spans="1:9">
      <c r="A420" s="472"/>
      <c r="B420" s="472"/>
      <c r="C420" s="472"/>
      <c r="D420" s="1364"/>
      <c r="E420" s="1364"/>
      <c r="F420" s="1364"/>
      <c r="I420" s="486"/>
    </row>
    <row r="421" spans="1:9">
      <c r="A421" s="472"/>
      <c r="B421" s="472"/>
      <c r="C421" s="472"/>
      <c r="D421" s="1364"/>
      <c r="E421" s="1364"/>
      <c r="F421" s="1364"/>
      <c r="I421" s="486"/>
    </row>
    <row r="422" spans="1:9">
      <c r="A422" s="472"/>
      <c r="B422" s="472"/>
      <c r="C422" s="472"/>
      <c r="D422" s="1364"/>
      <c r="E422" s="1364"/>
      <c r="F422" s="1364"/>
      <c r="I422" s="486"/>
    </row>
    <row r="423" spans="1:9">
      <c r="A423" s="472"/>
      <c r="B423" s="472"/>
      <c r="C423" s="472"/>
      <c r="D423" s="1364"/>
      <c r="E423" s="1364"/>
      <c r="F423" s="1364"/>
      <c r="I423" s="486"/>
    </row>
    <row r="424" spans="1:9">
      <c r="A424" s="472"/>
      <c r="B424" s="472"/>
      <c r="C424" s="472"/>
      <c r="D424" s="1364"/>
      <c r="E424" s="1364"/>
      <c r="F424" s="1364"/>
      <c r="I424" s="486"/>
    </row>
    <row r="425" spans="1:9">
      <c r="A425" s="472"/>
      <c r="B425" s="472"/>
      <c r="C425" s="472"/>
      <c r="D425" s="1364"/>
      <c r="E425" s="1364"/>
      <c r="F425" s="1364"/>
      <c r="I425" s="486"/>
    </row>
    <row r="426" spans="1:9">
      <c r="A426" s="472"/>
      <c r="B426" s="472"/>
      <c r="C426" s="472"/>
      <c r="D426" s="1364"/>
      <c r="E426" s="1364"/>
      <c r="F426" s="1364"/>
      <c r="I426" s="486"/>
    </row>
    <row r="427" spans="1:9">
      <c r="A427" s="472"/>
      <c r="B427" s="472"/>
      <c r="C427" s="472"/>
      <c r="D427" s="1364"/>
      <c r="E427" s="1364"/>
      <c r="F427" s="1364"/>
      <c r="I427" s="486"/>
    </row>
    <row r="428" spans="1:9">
      <c r="A428" s="472"/>
      <c r="B428" s="472"/>
      <c r="C428" s="472"/>
      <c r="D428" s="1364"/>
      <c r="E428" s="1364"/>
      <c r="F428" s="1364"/>
      <c r="I428" s="486"/>
    </row>
    <row r="429" spans="1:9">
      <c r="A429" s="472"/>
      <c r="B429" s="472"/>
      <c r="C429" s="472"/>
      <c r="D429" s="1364"/>
      <c r="E429" s="1364"/>
      <c r="F429" s="1364"/>
      <c r="I429" s="486"/>
    </row>
    <row r="430" spans="1:9">
      <c r="A430" s="472"/>
      <c r="B430" s="472"/>
      <c r="C430" s="472"/>
      <c r="D430" s="1364"/>
      <c r="E430" s="1364"/>
      <c r="F430" s="1364"/>
      <c r="I430" s="486"/>
    </row>
    <row r="431" spans="1:9">
      <c r="A431" s="472"/>
      <c r="B431" s="472"/>
      <c r="C431" s="492"/>
      <c r="D431" s="1364"/>
      <c r="E431" s="1364"/>
      <c r="F431" s="1364"/>
      <c r="I431" s="486"/>
    </row>
    <row r="432" spans="1:9">
      <c r="A432" s="472"/>
      <c r="B432" s="472"/>
      <c r="C432" s="492"/>
      <c r="D432" s="1364"/>
      <c r="E432" s="1364"/>
      <c r="F432" s="1364"/>
      <c r="I432" s="486"/>
    </row>
    <row r="433" spans="1:9">
      <c r="A433" s="472"/>
      <c r="B433" s="472"/>
      <c r="C433" s="472"/>
      <c r="D433" s="1364"/>
      <c r="E433" s="1364"/>
      <c r="F433" s="1364"/>
      <c r="I433" s="486"/>
    </row>
    <row r="434" spans="1:9">
      <c r="A434" s="472"/>
      <c r="B434" s="472"/>
      <c r="C434" s="492"/>
      <c r="D434" s="1364"/>
      <c r="E434" s="1364"/>
      <c r="F434" s="1364"/>
      <c r="I434" s="486"/>
    </row>
    <row r="435" spans="1:9">
      <c r="A435" s="472"/>
      <c r="B435" s="472"/>
      <c r="C435" s="492"/>
      <c r="D435" s="1364"/>
      <c r="E435" s="1364"/>
      <c r="F435" s="1364"/>
      <c r="I435" s="486"/>
    </row>
    <row r="436" spans="1:9">
      <c r="A436" s="472"/>
      <c r="B436" s="472"/>
      <c r="C436" s="492"/>
      <c r="D436" s="1364"/>
      <c r="E436" s="1364"/>
      <c r="F436" s="1364"/>
      <c r="I436" s="486"/>
    </row>
    <row r="437" spans="1:9">
      <c r="A437" s="472"/>
      <c r="B437" s="472"/>
      <c r="C437" s="472"/>
      <c r="D437" s="443"/>
      <c r="E437" s="443"/>
      <c r="F437" s="442"/>
      <c r="I437" s="486"/>
    </row>
    <row r="438" spans="1:9">
      <c r="A438" s="472"/>
      <c r="B438" s="481" t="s">
        <v>2825</v>
      </c>
      <c r="C438" s="472"/>
      <c r="D438" s="1364" t="s">
        <v>1133</v>
      </c>
      <c r="E438" s="1364"/>
      <c r="F438" s="1364"/>
      <c r="I438" s="486"/>
    </row>
    <row r="439" spans="1:9">
      <c r="A439" s="472"/>
      <c r="B439" s="472"/>
      <c r="C439" s="472"/>
      <c r="D439" s="1364"/>
      <c r="E439" s="1364"/>
      <c r="F439" s="1364"/>
      <c r="I439" s="486"/>
    </row>
    <row r="440" spans="1:9">
      <c r="A440" s="472"/>
      <c r="B440" s="472"/>
      <c r="C440" s="472"/>
      <c r="D440" s="447"/>
      <c r="E440" s="447"/>
      <c r="F440" s="447"/>
      <c r="I440" s="486"/>
    </row>
    <row r="441" spans="1:9" ht="14.4" customHeight="1">
      <c r="A441" s="480"/>
      <c r="B441" s="481" t="s">
        <v>2825</v>
      </c>
      <c r="D441" s="1364" t="s">
        <v>1848</v>
      </c>
      <c r="E441" s="1364"/>
      <c r="F441" s="1364"/>
      <c r="I441" s="486"/>
    </row>
    <row r="442" spans="1:9" ht="14.4" customHeight="1">
      <c r="A442" s="480"/>
      <c r="D442" s="1364"/>
      <c r="E442" s="1364"/>
      <c r="F442" s="1364"/>
      <c r="I442" s="486"/>
    </row>
    <row r="443" spans="1:9" ht="14.4" customHeight="1">
      <c r="A443" s="480"/>
      <c r="D443" s="1364"/>
      <c r="E443" s="1364"/>
      <c r="F443" s="1364"/>
      <c r="I443" s="486"/>
    </row>
    <row r="444" spans="1:9" ht="14.4" customHeight="1">
      <c r="A444" s="480"/>
      <c r="D444" s="1364"/>
      <c r="E444" s="1364"/>
      <c r="F444" s="1364"/>
      <c r="I444" s="486"/>
    </row>
    <row r="445" spans="1:9" ht="14.4" customHeight="1">
      <c r="A445" s="480"/>
      <c r="D445" s="1364"/>
      <c r="E445" s="1364"/>
      <c r="F445" s="1364"/>
      <c r="I445" s="486"/>
    </row>
    <row r="446" spans="1:9" ht="14.4" customHeight="1">
      <c r="A446" s="480"/>
      <c r="D446" s="381"/>
      <c r="E446" s="381"/>
      <c r="F446" s="381"/>
      <c r="I446" s="486"/>
    </row>
    <row r="447" spans="1:9" ht="13.65" customHeight="1">
      <c r="A447" s="480"/>
      <c r="B447" s="481" t="s">
        <v>2825</v>
      </c>
      <c r="C447" s="472"/>
      <c r="D447" s="1364" t="s">
        <v>1237</v>
      </c>
      <c r="E447" s="1364"/>
      <c r="F447" s="1364"/>
      <c r="I447" s="486"/>
    </row>
    <row r="448" spans="1:9" ht="14.4">
      <c r="A448" s="493"/>
      <c r="B448" s="493"/>
      <c r="C448" s="472"/>
      <c r="D448" s="1364"/>
      <c r="E448" s="1364"/>
      <c r="F448" s="1364"/>
      <c r="I448" s="486"/>
    </row>
    <row r="449" spans="1:9" ht="14.4">
      <c r="A449" s="493"/>
      <c r="B449" s="493"/>
      <c r="C449" s="472"/>
      <c r="D449" s="1364"/>
      <c r="E449" s="1364"/>
      <c r="F449" s="1364"/>
      <c r="I449" s="486"/>
    </row>
    <row r="450" spans="1:9" ht="14.4">
      <c r="A450" s="493"/>
      <c r="B450" s="493"/>
      <c r="C450" s="472"/>
      <c r="D450" s="1364"/>
      <c r="E450" s="1364"/>
      <c r="F450" s="1364"/>
      <c r="I450" s="486"/>
    </row>
    <row r="451" spans="1:9" ht="15.75" customHeight="1">
      <c r="A451" s="493"/>
      <c r="B451" s="493"/>
      <c r="C451" s="472"/>
      <c r="D451" s="1422" t="s">
        <v>2600</v>
      </c>
      <c r="E451" s="1364"/>
      <c r="F451" s="1364"/>
      <c r="I451" s="486"/>
    </row>
    <row r="452" spans="1:9">
      <c r="D452" s="442"/>
      <c r="E452" s="442"/>
      <c r="F452" s="442"/>
      <c r="I452" s="486"/>
    </row>
    <row r="453" spans="1:9" ht="14.4">
      <c r="A453" s="480"/>
      <c r="B453" s="481" t="s">
        <v>2825</v>
      </c>
      <c r="C453" s="483"/>
      <c r="D453" s="1394" t="s">
        <v>2010</v>
      </c>
      <c r="E453" s="1394"/>
      <c r="F453" s="1394"/>
      <c r="I453" s="486"/>
    </row>
    <row r="454" spans="1:9" ht="14.4">
      <c r="A454" s="480"/>
      <c r="B454" s="480"/>
      <c r="D454" s="1394"/>
      <c r="E454" s="1394"/>
      <c r="F454" s="1394"/>
      <c r="I454" s="486"/>
    </row>
    <row r="455" spans="1:9">
      <c r="D455" s="1394"/>
      <c r="E455" s="1394"/>
      <c r="F455" s="1394"/>
      <c r="I455" s="486"/>
    </row>
    <row r="456" spans="1:9">
      <c r="D456" s="1394"/>
      <c r="E456" s="1394"/>
      <c r="F456" s="1394"/>
      <c r="I456" s="486"/>
    </row>
    <row r="457" spans="1:9">
      <c r="D457" s="1394"/>
      <c r="E457" s="1394"/>
      <c r="F457" s="1394"/>
      <c r="I457" s="486"/>
    </row>
    <row r="458" spans="1:9">
      <c r="D458" s="1394"/>
      <c r="E458" s="1394"/>
      <c r="F458" s="1394"/>
      <c r="I458" s="486"/>
    </row>
    <row r="459" spans="1:9">
      <c r="D459" s="1394"/>
      <c r="E459" s="1394"/>
      <c r="F459" s="1394"/>
      <c r="I459" s="486"/>
    </row>
    <row r="460" spans="1:9">
      <c r="D460" s="1394"/>
      <c r="E460" s="1394"/>
      <c r="F460" s="1394"/>
      <c r="I460" s="486"/>
    </row>
    <row r="461" spans="1:9">
      <c r="D461" s="1394"/>
      <c r="E461" s="1394"/>
      <c r="F461" s="1394"/>
      <c r="I461" s="486"/>
    </row>
    <row r="462" spans="1:9">
      <c r="D462" s="1394"/>
      <c r="E462" s="1394"/>
      <c r="F462" s="1394"/>
      <c r="I462" s="486"/>
    </row>
    <row r="463" spans="1:9">
      <c r="D463" s="1394"/>
      <c r="E463" s="1394"/>
      <c r="F463" s="1394"/>
      <c r="I463" s="486"/>
    </row>
    <row r="464" spans="1:9">
      <c r="D464" s="1394"/>
      <c r="E464" s="1394"/>
      <c r="F464" s="1394"/>
      <c r="I464" s="486"/>
    </row>
    <row r="465" spans="1:9">
      <c r="D465" s="1394"/>
      <c r="E465" s="1394"/>
      <c r="F465" s="1394"/>
      <c r="I465" s="486"/>
    </row>
    <row r="466" spans="1:9">
      <c r="A466" s="398"/>
      <c r="B466" s="398"/>
      <c r="C466" s="398"/>
      <c r="D466" s="1394"/>
      <c r="E466" s="1394"/>
      <c r="F466" s="1394"/>
      <c r="I466" s="486"/>
    </row>
    <row r="467" spans="1:9">
      <c r="A467" s="398"/>
      <c r="B467" s="398"/>
      <c r="C467" s="398"/>
      <c r="D467" s="1394"/>
      <c r="E467" s="1394"/>
      <c r="F467" s="1394"/>
      <c r="I467" s="486"/>
    </row>
    <row r="468" spans="1:9">
      <c r="A468" s="398"/>
      <c r="B468" s="398"/>
      <c r="C468" s="398"/>
      <c r="D468" s="1394"/>
      <c r="E468" s="1394"/>
      <c r="F468" s="1394"/>
      <c r="I468" s="486"/>
    </row>
    <row r="469" spans="1:9">
      <c r="A469" s="398"/>
      <c r="B469" s="398"/>
      <c r="C469" s="398"/>
      <c r="D469" s="1394"/>
      <c r="E469" s="1394"/>
      <c r="F469" s="1394"/>
      <c r="I469" s="486"/>
    </row>
    <row r="470" spans="1:9">
      <c r="A470" s="398"/>
      <c r="B470" s="398"/>
      <c r="C470" s="398"/>
      <c r="D470" s="1394"/>
      <c r="E470" s="1394"/>
      <c r="F470" s="1394"/>
      <c r="I470" s="486"/>
    </row>
    <row r="471" spans="1:9">
      <c r="A471" s="398"/>
      <c r="B471" s="398"/>
      <c r="C471" s="398"/>
      <c r="D471" s="1394"/>
      <c r="E471" s="1394"/>
      <c r="F471" s="1394"/>
      <c r="I471" s="486"/>
    </row>
    <row r="472" spans="1:9">
      <c r="A472" s="398"/>
      <c r="B472" s="398"/>
      <c r="C472" s="398"/>
      <c r="D472" s="1394"/>
      <c r="E472" s="1394"/>
      <c r="F472" s="1394"/>
      <c r="I472" s="486"/>
    </row>
    <row r="473" spans="1:9">
      <c r="A473" s="398"/>
      <c r="B473" s="398"/>
      <c r="C473" s="398"/>
      <c r="D473" s="1394"/>
      <c r="E473" s="1394"/>
      <c r="F473" s="1394"/>
      <c r="I473" s="486"/>
    </row>
    <row r="474" spans="1:9">
      <c r="A474" s="398"/>
      <c r="B474" s="398"/>
      <c r="C474" s="398"/>
      <c r="D474" s="1394"/>
      <c r="E474" s="1394"/>
      <c r="F474" s="1394"/>
      <c r="I474" s="486"/>
    </row>
    <row r="475" spans="1:9">
      <c r="A475" s="398"/>
      <c r="B475" s="398"/>
      <c r="C475" s="398"/>
      <c r="D475" s="1394"/>
      <c r="E475" s="1394"/>
      <c r="F475" s="1394"/>
      <c r="I475" s="486"/>
    </row>
    <row r="476" spans="1:9">
      <c r="A476" s="398"/>
      <c r="B476" s="398"/>
      <c r="C476" s="398"/>
      <c r="D476" s="1394"/>
      <c r="E476" s="1394"/>
      <c r="F476" s="1394"/>
      <c r="I476" s="486"/>
    </row>
    <row r="477" spans="1:9">
      <c r="A477" s="398"/>
      <c r="B477" s="398"/>
      <c r="C477" s="398"/>
      <c r="D477" s="1394"/>
      <c r="E477" s="1394"/>
      <c r="F477" s="1394"/>
      <c r="I477" s="486"/>
    </row>
    <row r="478" spans="1:9">
      <c r="A478" s="398"/>
      <c r="B478" s="398"/>
      <c r="C478" s="398"/>
      <c r="D478" s="1394"/>
      <c r="E478" s="1394"/>
      <c r="F478" s="1394"/>
      <c r="I478" s="486"/>
    </row>
    <row r="479" spans="1:9">
      <c r="A479" s="398"/>
      <c r="B479" s="398"/>
      <c r="C479" s="398"/>
      <c r="D479" s="1394"/>
      <c r="E479" s="1394"/>
      <c r="F479" s="1394"/>
      <c r="I479" s="486"/>
    </row>
    <row r="480" spans="1:9">
      <c r="A480" s="398"/>
      <c r="B480" s="398"/>
      <c r="C480" s="398"/>
      <c r="D480" s="1394"/>
      <c r="E480" s="1394"/>
      <c r="F480" s="1394"/>
      <c r="I480" s="486"/>
    </row>
    <row r="481" spans="1:9">
      <c r="A481" s="398"/>
      <c r="B481" s="398"/>
      <c r="C481" s="398"/>
      <c r="D481" s="1394"/>
      <c r="E481" s="1394"/>
      <c r="F481" s="1394"/>
      <c r="I481" s="486"/>
    </row>
    <row r="482" spans="1:9">
      <c r="D482" s="1394"/>
      <c r="E482" s="1394"/>
      <c r="F482" s="1394"/>
      <c r="I482" s="486"/>
    </row>
    <row r="483" spans="1:9" ht="40.65" customHeight="1">
      <c r="D483" s="1394"/>
      <c r="E483" s="1394"/>
      <c r="F483" s="1394"/>
      <c r="I483" s="486"/>
    </row>
    <row r="484" spans="1:9">
      <c r="D484" s="442"/>
      <c r="E484" s="442"/>
      <c r="F484" s="442"/>
      <c r="I484" s="486"/>
    </row>
    <row r="485" spans="1:9" ht="14.4">
      <c r="A485" s="480"/>
      <c r="B485" s="481" t="s">
        <v>2825</v>
      </c>
      <c r="C485" s="483"/>
      <c r="D485" s="1394" t="s">
        <v>1134</v>
      </c>
      <c r="E485" s="1394"/>
      <c r="F485" s="1394"/>
      <c r="I485" s="486"/>
    </row>
    <row r="486" spans="1:9">
      <c r="D486" s="1394"/>
      <c r="E486" s="1394"/>
      <c r="F486" s="1394"/>
      <c r="I486" s="486"/>
    </row>
    <row r="487" spans="1:9">
      <c r="D487" s="1394"/>
      <c r="E487" s="1394"/>
      <c r="F487" s="1394"/>
      <c r="I487" s="486"/>
    </row>
    <row r="488" spans="1:9">
      <c r="D488" s="441"/>
      <c r="E488" s="441"/>
      <c r="F488" s="441"/>
      <c r="I488" s="486"/>
    </row>
    <row r="489" spans="1:9" ht="14.4">
      <c r="B489" s="481" t="s">
        <v>2825</v>
      </c>
      <c r="C489" s="480"/>
      <c r="D489" s="1394" t="s">
        <v>1194</v>
      </c>
      <c r="E489" s="1394"/>
      <c r="F489" s="1394"/>
      <c r="I489" s="486"/>
    </row>
    <row r="490" spans="1:9">
      <c r="D490" s="1394"/>
      <c r="E490" s="1394"/>
      <c r="F490" s="1394"/>
      <c r="I490" s="486"/>
    </row>
    <row r="491" spans="1:9">
      <c r="D491" s="442"/>
      <c r="E491" s="442"/>
      <c r="F491" s="442"/>
      <c r="I491" s="486"/>
    </row>
    <row r="492" spans="1:9" ht="14.4">
      <c r="B492" s="481" t="s">
        <v>2825</v>
      </c>
      <c r="C492" s="480"/>
      <c r="D492" s="1394" t="s">
        <v>1135</v>
      </c>
      <c r="E492" s="1394"/>
      <c r="F492" s="1394"/>
      <c r="I492" s="486"/>
    </row>
    <row r="493" spans="1:9">
      <c r="D493" s="1394"/>
      <c r="E493" s="1394"/>
      <c r="F493" s="1394"/>
      <c r="I493" s="486"/>
    </row>
    <row r="494" spans="1:9">
      <c r="D494" s="1394"/>
      <c r="E494" s="1394"/>
      <c r="F494" s="1394"/>
      <c r="I494" s="486"/>
    </row>
    <row r="495" spans="1:9">
      <c r="D495" s="1394"/>
      <c r="E495" s="1394"/>
      <c r="F495" s="1394"/>
      <c r="I495" s="486"/>
    </row>
    <row r="496" spans="1:9">
      <c r="B496" s="481" t="s">
        <v>2825</v>
      </c>
      <c r="D496" s="1394"/>
      <c r="E496" s="1394"/>
      <c r="F496" s="1394"/>
      <c r="I496" s="486"/>
    </row>
    <row r="497" spans="1:9">
      <c r="A497" s="398"/>
      <c r="B497" s="398"/>
      <c r="C497" s="398"/>
      <c r="D497" s="1394"/>
      <c r="E497" s="1394"/>
      <c r="F497" s="1394"/>
      <c r="I497" s="486"/>
    </row>
    <row r="498" spans="1:9">
      <c r="A498" s="398"/>
      <c r="C498" s="398"/>
      <c r="D498" s="1394"/>
      <c r="E498" s="1394"/>
      <c r="F498" s="1394"/>
      <c r="I498" s="486"/>
    </row>
    <row r="499" spans="1:9">
      <c r="A499" s="398"/>
      <c r="B499" s="481" t="s">
        <v>2825</v>
      </c>
      <c r="C499" s="398"/>
      <c r="D499" s="1394"/>
      <c r="E499" s="1394"/>
      <c r="F499" s="1394"/>
      <c r="I499" s="486"/>
    </row>
    <row r="500" spans="1:9">
      <c r="A500" s="398"/>
      <c r="B500" s="398"/>
      <c r="C500" s="398"/>
      <c r="D500" s="1394"/>
      <c r="E500" s="1394"/>
      <c r="F500" s="1394"/>
      <c r="I500" s="486"/>
    </row>
    <row r="501" spans="1:9">
      <c r="A501" s="398"/>
      <c r="C501" s="398"/>
      <c r="D501" s="1394"/>
      <c r="E501" s="1394"/>
      <c r="F501" s="1394"/>
      <c r="I501" s="486"/>
    </row>
    <row r="502" spans="1:9">
      <c r="A502" s="398"/>
      <c r="C502" s="398"/>
      <c r="D502" s="1394"/>
      <c r="E502" s="1394"/>
      <c r="F502" s="1394"/>
      <c r="I502" s="486"/>
    </row>
    <row r="503" spans="1:9">
      <c r="A503" s="398"/>
      <c r="C503" s="398"/>
      <c r="D503" s="1394"/>
      <c r="E503" s="1394"/>
      <c r="F503" s="1394"/>
      <c r="I503" s="486"/>
    </row>
    <row r="504" spans="1:9">
      <c r="A504" s="398"/>
      <c r="B504" s="481" t="s">
        <v>2825</v>
      </c>
      <c r="C504" s="398"/>
      <c r="D504" s="1394"/>
      <c r="E504" s="1394"/>
      <c r="F504" s="1394"/>
      <c r="I504" s="486"/>
    </row>
    <row r="505" spans="1:9">
      <c r="A505" s="398"/>
      <c r="C505" s="398"/>
      <c r="D505" s="1394"/>
      <c r="E505" s="1394"/>
      <c r="F505" s="1394"/>
      <c r="I505" s="486"/>
    </row>
    <row r="506" spans="1:9">
      <c r="A506" s="398"/>
      <c r="B506" s="481" t="s">
        <v>2825</v>
      </c>
      <c r="C506" s="398"/>
      <c r="D506" s="1394" t="s">
        <v>1136</v>
      </c>
      <c r="E506" s="1394"/>
      <c r="F506" s="1394"/>
      <c r="I506" s="486"/>
    </row>
    <row r="507" spans="1:9">
      <c r="A507" s="398"/>
      <c r="B507" s="398"/>
      <c r="C507" s="398"/>
      <c r="D507" s="1394"/>
      <c r="E507" s="1394"/>
      <c r="F507" s="1394"/>
      <c r="I507" s="486"/>
    </row>
    <row r="508" spans="1:9">
      <c r="A508" s="398"/>
      <c r="B508" s="398"/>
      <c r="C508" s="398"/>
      <c r="D508" s="1394"/>
      <c r="E508" s="1394"/>
      <c r="F508" s="1394"/>
      <c r="I508" s="486"/>
    </row>
    <row r="509" spans="1:9">
      <c r="A509" s="398"/>
      <c r="B509" s="398"/>
      <c r="C509" s="398"/>
      <c r="D509" s="1394"/>
      <c r="E509" s="1394"/>
      <c r="F509" s="1394"/>
      <c r="I509" s="486"/>
    </row>
    <row r="510" spans="1:9">
      <c r="D510" s="1394"/>
      <c r="E510" s="1394"/>
      <c r="F510" s="1394"/>
      <c r="I510" s="486"/>
    </row>
    <row r="511" spans="1:9">
      <c r="D511" s="442"/>
      <c r="E511" s="442"/>
      <c r="F511" s="442"/>
      <c r="I511" s="486"/>
    </row>
    <row r="512" spans="1:9">
      <c r="B512" s="481" t="s">
        <v>2825</v>
      </c>
      <c r="D512" s="1395" t="s">
        <v>1137</v>
      </c>
      <c r="E512" s="1395"/>
      <c r="F512" s="1395"/>
      <c r="I512" s="486"/>
    </row>
    <row r="513" spans="1:9">
      <c r="A513" s="442"/>
      <c r="B513" s="442"/>
      <c r="I513" s="486"/>
    </row>
    <row r="514" spans="1:9">
      <c r="A514" s="1340" t="s">
        <v>1048</v>
      </c>
      <c r="B514" s="1340"/>
      <c r="C514" s="1340"/>
      <c r="D514" s="1340"/>
      <c r="E514" s="1340"/>
      <c r="F514" s="1340"/>
      <c r="G514" s="1340"/>
      <c r="H514" s="1018"/>
      <c r="I514" s="1142"/>
    </row>
    <row r="515" spans="1:9">
      <c r="A515" s="442"/>
      <c r="B515" s="442"/>
      <c r="I515" s="486"/>
    </row>
    <row r="516" spans="1:9">
      <c r="D516" s="1421" t="s">
        <v>881</v>
      </c>
      <c r="E516" s="1421"/>
      <c r="F516" s="1421"/>
      <c r="I516" s="486"/>
    </row>
    <row r="517" spans="1:9" ht="14.4">
      <c r="A517" s="480"/>
      <c r="B517" s="480"/>
      <c r="D517" s="1403" t="s">
        <v>1138</v>
      </c>
      <c r="E517" s="1403"/>
      <c r="F517" s="1403"/>
      <c r="I517" s="486"/>
    </row>
    <row r="518" spans="1:9" ht="14.4">
      <c r="A518" s="480"/>
      <c r="B518" s="480"/>
      <c r="D518" s="443"/>
      <c r="I518" s="486"/>
    </row>
    <row r="519" spans="1:9" ht="14.4">
      <c r="A519" s="480"/>
      <c r="B519" s="481" t="s">
        <v>2825</v>
      </c>
      <c r="D519" s="1364" t="s">
        <v>1139</v>
      </c>
      <c r="E519" s="1364"/>
      <c r="F519" s="1364"/>
      <c r="I519" s="486"/>
    </row>
    <row r="520" spans="1:9" ht="14.4">
      <c r="A520" s="480"/>
      <c r="B520" s="480"/>
      <c r="D520" s="1364"/>
      <c r="E520" s="1364"/>
      <c r="F520" s="1364"/>
      <c r="I520" s="486"/>
    </row>
    <row r="521" spans="1:9" ht="14.4">
      <c r="A521" s="480"/>
      <c r="B521" s="480"/>
      <c r="D521" s="442"/>
      <c r="I521" s="486"/>
    </row>
    <row r="522" spans="1:9" ht="12.75" customHeight="1">
      <c r="B522" s="481" t="s">
        <v>2824</v>
      </c>
      <c r="D522" s="1409" t="s">
        <v>1270</v>
      </c>
      <c r="E522" s="1409"/>
      <c r="F522" s="1409"/>
      <c r="I522" s="486"/>
    </row>
    <row r="523" spans="1:9" ht="14.4">
      <c r="A523" s="480"/>
      <c r="D523" s="1409"/>
      <c r="E523" s="1409"/>
      <c r="F523" s="1409"/>
      <c r="I523" s="486"/>
    </row>
    <row r="524" spans="1:9" ht="14.4">
      <c r="A524" s="480"/>
      <c r="B524" s="480"/>
      <c r="D524" s="1409"/>
      <c r="E524" s="1409"/>
      <c r="F524" s="1409"/>
      <c r="I524" s="486"/>
    </row>
    <row r="525" spans="1:9" ht="14.4">
      <c r="A525" s="480"/>
      <c r="B525" s="480"/>
      <c r="D525" s="1409"/>
      <c r="E525" s="1409"/>
      <c r="F525" s="1409"/>
      <c r="I525" s="486"/>
    </row>
    <row r="526" spans="1:9" ht="14.4">
      <c r="A526" s="480"/>
      <c r="D526" s="516"/>
      <c r="E526" s="516"/>
      <c r="F526" s="516"/>
      <c r="I526" s="486"/>
    </row>
    <row r="527" spans="1:9" ht="14.4">
      <c r="A527" s="480"/>
      <c r="B527" s="481" t="s">
        <v>2824</v>
      </c>
      <c r="D527" s="1395" t="s">
        <v>1140</v>
      </c>
      <c r="E527" s="1395"/>
      <c r="F527" s="1395"/>
      <c r="I527" s="486"/>
    </row>
    <row r="528" spans="1:9" ht="14.4">
      <c r="A528" s="480"/>
      <c r="B528" s="480"/>
      <c r="D528" s="442"/>
      <c r="I528" s="486"/>
    </row>
    <row r="529" spans="1:9" ht="14.4">
      <c r="A529" s="480"/>
      <c r="B529" s="481" t="s">
        <v>2825</v>
      </c>
      <c r="D529" s="1394" t="s">
        <v>1141</v>
      </c>
      <c r="E529" s="1394"/>
      <c r="F529" s="1394"/>
      <c r="I529" s="486"/>
    </row>
    <row r="530" spans="1:9" ht="14.4">
      <c r="A530" s="480"/>
      <c r="D530" s="1394"/>
      <c r="E530" s="1394"/>
      <c r="F530" s="1394"/>
      <c r="I530" s="486"/>
    </row>
    <row r="531" spans="1:9">
      <c r="A531" s="486"/>
      <c r="B531" s="486"/>
      <c r="D531" s="443"/>
      <c r="I531" s="486"/>
    </row>
    <row r="532" spans="1:9">
      <c r="A532" s="486"/>
      <c r="B532" s="481" t="s">
        <v>2825</v>
      </c>
      <c r="D532" s="1395" t="s">
        <v>1142</v>
      </c>
      <c r="E532" s="1395"/>
      <c r="F532" s="1395"/>
      <c r="I532" s="486"/>
    </row>
    <row r="533" spans="1:9">
      <c r="D533" s="442"/>
      <c r="E533" s="442"/>
      <c r="F533" s="442"/>
      <c r="I533" s="486"/>
    </row>
    <row r="534" spans="1:9">
      <c r="B534" s="481" t="s">
        <v>2825</v>
      </c>
      <c r="D534" s="1394" t="s">
        <v>2213</v>
      </c>
      <c r="E534" s="1394"/>
      <c r="F534" s="1394"/>
      <c r="I534" s="486"/>
    </row>
    <row r="535" spans="1:9">
      <c r="D535" s="1394"/>
      <c r="E535" s="1394"/>
      <c r="F535" s="1394"/>
      <c r="I535" s="486"/>
    </row>
    <row r="536" spans="1:9">
      <c r="D536" s="1394"/>
      <c r="E536" s="1394"/>
      <c r="F536" s="1394"/>
      <c r="I536" s="486"/>
    </row>
    <row r="537" spans="1:9">
      <c r="D537" s="442"/>
      <c r="E537" s="442"/>
      <c r="F537" s="442"/>
      <c r="I537" s="486"/>
    </row>
    <row r="538" spans="1:9" ht="14.4">
      <c r="A538" s="480"/>
      <c r="B538" s="480"/>
      <c r="D538" s="442"/>
      <c r="I538" s="486"/>
    </row>
    <row r="539" spans="1:9">
      <c r="A539" s="1340" t="s">
        <v>1049</v>
      </c>
      <c r="B539" s="1340"/>
      <c r="C539" s="1340"/>
      <c r="D539" s="1340"/>
      <c r="E539" s="1340"/>
      <c r="F539" s="1340"/>
      <c r="G539" s="1340"/>
      <c r="H539" s="1018"/>
      <c r="I539" s="1142"/>
    </row>
    <row r="540" spans="1:9" ht="12" customHeight="1">
      <c r="A540" s="480"/>
      <c r="B540" s="480"/>
      <c r="D540" s="442"/>
      <c r="I540" s="486"/>
    </row>
    <row r="541" spans="1:9">
      <c r="C541" s="478"/>
      <c r="D541" s="1396" t="s">
        <v>791</v>
      </c>
      <c r="E541" s="1396"/>
      <c r="F541" s="1396"/>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65" customHeight="1">
      <c r="A545" s="479"/>
      <c r="B545" s="481" t="s">
        <v>2824</v>
      </c>
      <c r="C545" s="479"/>
      <c r="D545" s="1364" t="s">
        <v>2011</v>
      </c>
      <c r="E545" s="1364"/>
      <c r="F545" s="1364"/>
      <c r="I545" s="486"/>
    </row>
    <row r="546" spans="1:9">
      <c r="A546" s="479"/>
      <c r="B546" s="479"/>
      <c r="C546" s="479"/>
      <c r="D546" s="1364"/>
      <c r="E546" s="1364"/>
      <c r="F546" s="1364"/>
      <c r="I546" s="486"/>
    </row>
    <row r="547" spans="1:9">
      <c r="A547" s="479"/>
      <c r="B547" s="479"/>
      <c r="C547" s="479"/>
      <c r="D547" s="447"/>
      <c r="E547" s="447"/>
      <c r="F547" s="447"/>
      <c r="I547" s="476"/>
    </row>
    <row r="548" spans="1:9" ht="12.75" customHeight="1">
      <c r="A548" s="479"/>
      <c r="B548" s="481" t="s">
        <v>2824</v>
      </c>
      <c r="D548" s="382" t="s">
        <v>1869</v>
      </c>
      <c r="E548" s="381"/>
      <c r="F548" s="381"/>
      <c r="I548" s="486"/>
    </row>
    <row r="549" spans="1:9">
      <c r="A549" s="479"/>
      <c r="B549" s="479"/>
      <c r="C549" s="479"/>
      <c r="D549" s="381"/>
      <c r="E549" s="96" t="s">
        <v>1870</v>
      </c>
      <c r="I549" s="486"/>
    </row>
    <row r="550" spans="1:9">
      <c r="A550" s="479"/>
      <c r="B550" s="479"/>
      <c r="D550" s="1372" t="s">
        <v>2012</v>
      </c>
      <c r="E550" s="1372"/>
      <c r="F550" s="1372"/>
      <c r="I550" s="486"/>
    </row>
    <row r="551" spans="1:9">
      <c r="A551" s="479"/>
      <c r="B551" s="479"/>
      <c r="D551" s="1372"/>
      <c r="E551" s="1372"/>
      <c r="F551" s="1372"/>
      <c r="I551" s="486"/>
    </row>
    <row r="552" spans="1:9">
      <c r="A552" s="479"/>
      <c r="B552" s="479"/>
      <c r="C552" s="479"/>
      <c r="D552" s="1372"/>
      <c r="E552" s="1372"/>
      <c r="F552" s="1372"/>
      <c r="I552" s="486"/>
    </row>
    <row r="553" spans="1:9">
      <c r="A553" s="479"/>
      <c r="B553" s="479"/>
      <c r="C553" s="479"/>
      <c r="D553" s="494"/>
      <c r="F553" s="442"/>
      <c r="I553" s="486"/>
    </row>
    <row r="554" spans="1:9" ht="13.2" customHeight="1">
      <c r="A554" s="479"/>
      <c r="B554" s="481" t="s">
        <v>2825</v>
      </c>
      <c r="C554" s="479"/>
      <c r="D554" s="1394" t="s">
        <v>2624</v>
      </c>
      <c r="E554" s="1394"/>
      <c r="F554" s="1394"/>
      <c r="I554" s="486"/>
    </row>
    <row r="555" spans="1:9" ht="13.2" customHeight="1">
      <c r="A555" s="479"/>
      <c r="B555" s="479"/>
      <c r="C555" s="479"/>
      <c r="D555" s="1394"/>
      <c r="E555" s="1394"/>
      <c r="F555" s="1394"/>
      <c r="I555" s="486"/>
    </row>
    <row r="556" spans="1:9">
      <c r="A556" s="479"/>
      <c r="B556" s="479"/>
      <c r="C556" s="479"/>
      <c r="D556" s="1394"/>
      <c r="E556" s="1394"/>
      <c r="F556" s="1394"/>
      <c r="I556" s="486"/>
    </row>
    <row r="557" spans="1:9" ht="12" customHeight="1">
      <c r="A557" s="442"/>
      <c r="B557" s="442"/>
      <c r="C557" s="483"/>
      <c r="D557" s="442"/>
      <c r="F557" s="444"/>
      <c r="I557" s="486"/>
    </row>
    <row r="558" spans="1:9">
      <c r="A558" s="1340" t="s">
        <v>1050</v>
      </c>
      <c r="B558" s="1340"/>
      <c r="C558" s="1340"/>
      <c r="D558" s="1340"/>
      <c r="E558" s="1340"/>
      <c r="F558" s="1340"/>
      <c r="G558" s="1340"/>
      <c r="H558" s="1018"/>
      <c r="I558" s="1142"/>
    </row>
    <row r="559" spans="1:9">
      <c r="A559" s="442"/>
      <c r="B559" s="442"/>
      <c r="C559" s="483"/>
      <c r="F559" s="444"/>
      <c r="I559" s="486"/>
    </row>
    <row r="560" spans="1:9">
      <c r="B560" s="1399" t="s">
        <v>444</v>
      </c>
      <c r="C560" s="1399"/>
      <c r="D560" s="1399"/>
      <c r="E560" s="1399"/>
      <c r="F560" s="1399"/>
      <c r="I560" s="486"/>
    </row>
    <row r="561" spans="1:9">
      <c r="A561" s="442"/>
      <c r="B561" s="442"/>
      <c r="C561" s="483"/>
      <c r="D561" s="442"/>
      <c r="F561" s="442"/>
      <c r="I561" s="486"/>
    </row>
    <row r="562" spans="1:9">
      <c r="A562" s="1397" t="s">
        <v>1051</v>
      </c>
      <c r="B562" s="1397"/>
      <c r="C562" s="1397"/>
      <c r="D562" s="1397"/>
      <c r="E562" s="1397"/>
      <c r="F562" s="1397"/>
      <c r="G562" s="1397"/>
      <c r="H562" s="1018"/>
      <c r="I562" s="1142"/>
    </row>
    <row r="563" spans="1:9">
      <c r="A563" s="442"/>
      <c r="B563" s="442"/>
      <c r="C563" s="483"/>
      <c r="D563" s="442"/>
      <c r="F563" s="442"/>
      <c r="I563" s="486"/>
    </row>
    <row r="564" spans="1:9">
      <c r="C564" s="483"/>
      <c r="D564" s="1396" t="s">
        <v>681</v>
      </c>
      <c r="E564" s="1396"/>
      <c r="F564" s="1396"/>
      <c r="I564" s="486"/>
    </row>
    <row r="565" spans="1:9">
      <c r="C565" s="483"/>
      <c r="D565" s="1395" t="s">
        <v>1079</v>
      </c>
      <c r="E565" s="1395"/>
      <c r="F565" s="1395"/>
      <c r="I565" s="486"/>
    </row>
    <row r="566" spans="1:9">
      <c r="C566" s="483"/>
      <c r="D566" s="442"/>
      <c r="E566" s="442"/>
      <c r="F566" s="442"/>
      <c r="I566" s="486"/>
    </row>
    <row r="567" spans="1:9" ht="13.65" customHeight="1">
      <c r="A567" s="480"/>
      <c r="B567" s="481" t="s">
        <v>2824</v>
      </c>
      <c r="C567" s="483"/>
      <c r="D567" s="1395" t="s">
        <v>882</v>
      </c>
      <c r="E567" s="1395"/>
      <c r="F567" s="1395"/>
      <c r="I567" s="486"/>
    </row>
    <row r="568" spans="1:9" ht="13.65" customHeight="1">
      <c r="A568" s="483"/>
      <c r="B568" s="483"/>
      <c r="C568" s="483"/>
      <c r="D568" s="442"/>
      <c r="I568" s="486"/>
    </row>
    <row r="569" spans="1:9" ht="14.4">
      <c r="A569" s="480"/>
      <c r="B569" s="481" t="s">
        <v>2824</v>
      </c>
      <c r="C569" s="483"/>
      <c r="D569" s="1394" t="s">
        <v>1080</v>
      </c>
      <c r="E569" s="1394"/>
      <c r="F569" s="1394"/>
      <c r="I569" s="486"/>
    </row>
    <row r="570" spans="1:9">
      <c r="A570" s="483"/>
      <c r="B570" s="483"/>
      <c r="C570" s="483"/>
      <c r="D570" s="1394"/>
      <c r="E570" s="1394"/>
      <c r="F570" s="1394"/>
      <c r="I570" s="486"/>
    </row>
    <row r="571" spans="1:9">
      <c r="A571" s="483"/>
      <c r="B571" s="483"/>
      <c r="C571" s="483"/>
      <c r="D571" s="442"/>
      <c r="E571" s="442"/>
      <c r="F571" s="442"/>
      <c r="I571" s="486"/>
    </row>
    <row r="572" spans="1:9" ht="14.4">
      <c r="A572" s="480"/>
      <c r="B572" s="481" t="s">
        <v>2824</v>
      </c>
      <c r="C572" s="483"/>
      <c r="D572" s="1394" t="s">
        <v>1081</v>
      </c>
      <c r="E572" s="1394"/>
      <c r="F572" s="1394"/>
      <c r="I572" s="486"/>
    </row>
    <row r="573" spans="1:9">
      <c r="A573" s="483"/>
      <c r="B573" s="483"/>
      <c r="C573" s="483"/>
      <c r="D573" s="1394"/>
      <c r="E573" s="1394"/>
      <c r="F573" s="1394"/>
      <c r="I573" s="486"/>
    </row>
    <row r="574" spans="1:9">
      <c r="A574" s="483"/>
      <c r="B574" s="483"/>
      <c r="C574" s="483"/>
      <c r="D574" s="442"/>
      <c r="E574" s="442"/>
      <c r="F574" s="442"/>
      <c r="I574" s="486"/>
    </row>
    <row r="575" spans="1:9" ht="14.4">
      <c r="A575" s="480"/>
      <c r="B575" s="481" t="s">
        <v>2824</v>
      </c>
      <c r="C575" s="483"/>
      <c r="D575" s="1394" t="s">
        <v>1082</v>
      </c>
      <c r="E575" s="1394"/>
      <c r="F575" s="1394"/>
      <c r="I575" s="486"/>
    </row>
    <row r="576" spans="1:9">
      <c r="A576" s="483"/>
      <c r="B576" s="483"/>
      <c r="C576" s="483"/>
      <c r="D576" s="1394"/>
      <c r="E576" s="1394"/>
      <c r="F576" s="1394"/>
      <c r="I576" s="486"/>
    </row>
    <row r="577" spans="1:9">
      <c r="A577" s="483"/>
      <c r="B577" s="483"/>
      <c r="C577" s="483"/>
      <c r="D577" s="442"/>
      <c r="E577" s="442"/>
      <c r="F577" s="442"/>
      <c r="I577" s="486"/>
    </row>
    <row r="578" spans="1:9" ht="14.4">
      <c r="A578" s="480"/>
      <c r="B578" s="481" t="s">
        <v>2824</v>
      </c>
      <c r="C578" s="483"/>
      <c r="D578" s="1394" t="s">
        <v>1083</v>
      </c>
      <c r="E578" s="1394"/>
      <c r="F578" s="1394"/>
      <c r="I578" s="486"/>
    </row>
    <row r="579" spans="1:9">
      <c r="A579" s="483"/>
      <c r="B579" s="483"/>
      <c r="C579" s="483"/>
      <c r="D579" s="1394"/>
      <c r="E579" s="1394"/>
      <c r="F579" s="1394"/>
      <c r="I579" s="486"/>
    </row>
    <row r="580" spans="1:9">
      <c r="A580" s="483"/>
      <c r="B580" s="483"/>
      <c r="C580" s="483"/>
      <c r="D580" s="1394"/>
      <c r="E580" s="1394"/>
      <c r="F580" s="1394"/>
      <c r="I580" s="486"/>
    </row>
    <row r="581" spans="1:9">
      <c r="A581" s="483"/>
      <c r="B581" s="483"/>
      <c r="C581" s="483"/>
      <c r="D581" s="442"/>
      <c r="E581" s="442"/>
      <c r="F581" s="442"/>
      <c r="I581" s="486"/>
    </row>
    <row r="582" spans="1:9" ht="14.4">
      <c r="A582" s="480"/>
      <c r="B582" s="481" t="s">
        <v>2825</v>
      </c>
      <c r="C582" s="483"/>
      <c r="D582" s="1394" t="s">
        <v>2192</v>
      </c>
      <c r="E582" s="1394"/>
      <c r="F582" s="1394"/>
      <c r="I582" s="486"/>
    </row>
    <row r="583" spans="1:9">
      <c r="A583" s="483"/>
      <c r="B583" s="483"/>
      <c r="C583" s="483"/>
      <c r="D583" s="1394"/>
      <c r="E583" s="1394"/>
      <c r="F583" s="1394"/>
      <c r="I583" s="486"/>
    </row>
    <row r="584" spans="1:9">
      <c r="A584" s="483"/>
      <c r="B584" s="483"/>
      <c r="C584" s="483"/>
      <c r="D584" s="442"/>
      <c r="E584" s="442"/>
      <c r="F584" s="442"/>
      <c r="I584" s="486"/>
    </row>
    <row r="585" spans="1:9" ht="14.4">
      <c r="A585" s="480"/>
      <c r="B585" s="481" t="s">
        <v>2825</v>
      </c>
      <c r="C585" s="483"/>
      <c r="D585" s="1394" t="s">
        <v>1084</v>
      </c>
      <c r="E585" s="1394"/>
      <c r="F585" s="1394"/>
      <c r="I585" s="486"/>
    </row>
    <row r="586" spans="1:9">
      <c r="A586" s="483"/>
      <c r="B586" s="483"/>
      <c r="C586" s="483"/>
      <c r="D586" s="1394"/>
      <c r="E586" s="1394"/>
      <c r="F586" s="1394"/>
      <c r="I586" s="486"/>
    </row>
    <row r="587" spans="1:9">
      <c r="A587" s="483"/>
      <c r="B587" s="483"/>
      <c r="C587" s="483"/>
      <c r="D587" s="442"/>
      <c r="E587" s="442"/>
      <c r="F587" s="442"/>
      <c r="I587" s="486"/>
    </row>
    <row r="588" spans="1:9" ht="14.4">
      <c r="A588" s="480"/>
      <c r="B588" s="481" t="s">
        <v>2824</v>
      </c>
      <c r="C588" s="483"/>
      <c r="D588" s="1395" t="s">
        <v>1085</v>
      </c>
      <c r="E588" s="1395"/>
      <c r="F588" s="1395"/>
      <c r="I588" s="486"/>
    </row>
    <row r="589" spans="1:9">
      <c r="A589" s="486"/>
      <c r="B589" s="486"/>
      <c r="C589" s="483"/>
      <c r="D589" s="1395" t="s">
        <v>1872</v>
      </c>
      <c r="E589" s="1395"/>
      <c r="F589" s="1395"/>
      <c r="I589" s="486"/>
    </row>
    <row r="590" spans="1:9">
      <c r="A590" s="486"/>
      <c r="B590" s="486"/>
      <c r="C590" s="483"/>
      <c r="E590" s="96" t="s">
        <v>1871</v>
      </c>
      <c r="F590" s="400"/>
      <c r="I590" s="486"/>
    </row>
    <row r="591" spans="1:9" ht="14.4">
      <c r="A591" s="480"/>
      <c r="B591" s="480"/>
      <c r="C591" s="483"/>
      <c r="E591" s="442"/>
      <c r="F591" s="442"/>
      <c r="I591" s="486"/>
    </row>
    <row r="592" spans="1:9" ht="14.4">
      <c r="A592" s="480"/>
      <c r="B592" s="481" t="s">
        <v>2824</v>
      </c>
      <c r="C592" s="483"/>
      <c r="D592" s="1395" t="s">
        <v>1086</v>
      </c>
      <c r="E592" s="1395"/>
      <c r="F592" s="1395"/>
      <c r="I592" s="486"/>
    </row>
    <row r="593" spans="1:9">
      <c r="C593" s="483"/>
      <c r="D593" s="1394" t="s">
        <v>1087</v>
      </c>
      <c r="E593" s="1394"/>
      <c r="F593" s="1394"/>
      <c r="I593" s="486"/>
    </row>
    <row r="594" spans="1:9">
      <c r="A594" s="483"/>
      <c r="B594" s="483"/>
      <c r="C594" s="483"/>
      <c r="D594" s="1394"/>
      <c r="E594" s="1394"/>
      <c r="F594" s="1394"/>
      <c r="I594" s="486"/>
    </row>
    <row r="595" spans="1:9">
      <c r="A595" s="483"/>
      <c r="B595" s="483"/>
      <c r="C595" s="483"/>
      <c r="D595" s="1394"/>
      <c r="E595" s="1394"/>
      <c r="F595" s="1394"/>
      <c r="I595" s="486"/>
    </row>
    <row r="596" spans="1:9">
      <c r="A596" s="483"/>
      <c r="B596" s="483"/>
      <c r="C596" s="483"/>
      <c r="D596" s="442"/>
      <c r="E596" s="442"/>
      <c r="F596" s="442"/>
      <c r="I596" s="486"/>
    </row>
    <row r="597" spans="1:9" ht="14.4">
      <c r="A597" s="480"/>
      <c r="B597" s="481" t="s">
        <v>2824</v>
      </c>
      <c r="C597" s="483"/>
      <c r="D597" s="1394" t="s">
        <v>2013</v>
      </c>
      <c r="E597" s="1394"/>
      <c r="F597" s="1394"/>
      <c r="I597" s="486"/>
    </row>
    <row r="598" spans="1:9" ht="14.4">
      <c r="A598" s="480"/>
      <c r="B598" s="480"/>
      <c r="C598" s="483"/>
      <c r="D598" s="1394"/>
      <c r="E598" s="1394"/>
      <c r="F598" s="1394"/>
      <c r="I598" s="486"/>
    </row>
    <row r="599" spans="1:9" ht="14.4">
      <c r="A599" s="480"/>
      <c r="B599" s="480"/>
      <c r="C599" s="483"/>
      <c r="D599" s="1394"/>
      <c r="E599" s="1394"/>
      <c r="F599" s="1394"/>
      <c r="I599" s="486"/>
    </row>
    <row r="600" spans="1:9" ht="14.4">
      <c r="A600" s="480"/>
      <c r="B600" s="480"/>
      <c r="C600" s="483"/>
      <c r="D600" s="1394"/>
      <c r="E600" s="1394"/>
      <c r="F600" s="1394"/>
      <c r="I600" s="486"/>
    </row>
    <row r="601" spans="1:9" ht="14.4">
      <c r="A601" s="480"/>
      <c r="B601" s="480"/>
      <c r="C601" s="483"/>
      <c r="D601" s="442"/>
      <c r="E601" s="442"/>
      <c r="F601" s="442"/>
      <c r="I601" s="486"/>
    </row>
    <row r="602" spans="1:9">
      <c r="A602" s="1340" t="s">
        <v>1052</v>
      </c>
      <c r="B602" s="1340"/>
      <c r="C602" s="1340"/>
      <c r="D602" s="1340"/>
      <c r="E602" s="1340"/>
      <c r="F602" s="1340"/>
      <c r="G602" s="1340"/>
      <c r="H602" s="1018"/>
      <c r="I602" s="1142"/>
    </row>
    <row r="603" spans="1:9">
      <c r="A603" s="483"/>
      <c r="B603" s="483"/>
      <c r="C603" s="483"/>
      <c r="E603" s="442"/>
      <c r="F603" s="442"/>
      <c r="I603" s="486"/>
    </row>
    <row r="604" spans="1:9" ht="12.75" customHeight="1">
      <c r="C604" s="478"/>
      <c r="D604" s="1412" t="s">
        <v>210</v>
      </c>
      <c r="E604" s="1412"/>
      <c r="F604" s="1412"/>
      <c r="I604" s="486"/>
    </row>
    <row r="605" spans="1:9">
      <c r="A605" s="479"/>
      <c r="B605" s="479"/>
      <c r="C605" s="479"/>
      <c r="D605" s="1409" t="s">
        <v>1065</v>
      </c>
      <c r="E605" s="1409"/>
      <c r="F605" s="1409"/>
      <c r="I605" s="486"/>
    </row>
    <row r="606" spans="1:9">
      <c r="A606" s="398"/>
      <c r="B606" s="398"/>
      <c r="C606" s="479"/>
      <c r="D606" s="495"/>
      <c r="I606" s="486"/>
    </row>
    <row r="607" spans="1:9">
      <c r="A607" s="479"/>
      <c r="B607" s="481" t="s">
        <v>2824</v>
      </c>
      <c r="D607" s="1409" t="s">
        <v>886</v>
      </c>
      <c r="E607" s="1409"/>
      <c r="F607" s="1409"/>
      <c r="I607" s="486"/>
    </row>
    <row r="608" spans="1:9">
      <c r="A608" s="486"/>
      <c r="B608" s="486"/>
      <c r="D608" s="472"/>
      <c r="I608" s="486"/>
    </row>
    <row r="609" spans="1:9">
      <c r="A609" s="486"/>
      <c r="B609" s="481" t="s">
        <v>2824</v>
      </c>
      <c r="D609" s="1409" t="s">
        <v>2014</v>
      </c>
      <c r="E609" s="1409"/>
      <c r="F609" s="1409"/>
      <c r="I609" s="486"/>
    </row>
    <row r="610" spans="1:9">
      <c r="A610" s="486"/>
      <c r="B610" s="486"/>
      <c r="D610" s="1409"/>
      <c r="E610" s="1409"/>
      <c r="F610" s="1409"/>
      <c r="I610" s="486"/>
    </row>
    <row r="611" spans="1:9">
      <c r="A611" s="486"/>
      <c r="B611" s="486"/>
      <c r="D611" s="1409"/>
      <c r="E611" s="1409"/>
      <c r="F611" s="1409"/>
      <c r="I611" s="486"/>
    </row>
    <row r="612" spans="1:9">
      <c r="A612" s="486"/>
      <c r="B612" s="486"/>
      <c r="D612" s="1409"/>
      <c r="E612" s="1409"/>
      <c r="F612" s="1409"/>
      <c r="I612" s="486"/>
    </row>
    <row r="613" spans="1:9">
      <c r="A613" s="486"/>
      <c r="B613" s="481" t="s">
        <v>2825</v>
      </c>
      <c r="D613" s="1409" t="s">
        <v>1066</v>
      </c>
      <c r="E613" s="1409"/>
      <c r="F613" s="1409"/>
      <c r="I613" s="486"/>
    </row>
    <row r="614" spans="1:9">
      <c r="A614" s="486"/>
      <c r="B614" s="486"/>
      <c r="D614" s="1409"/>
      <c r="E614" s="1409"/>
      <c r="F614" s="1409"/>
      <c r="I614" s="486"/>
    </row>
    <row r="615" spans="1:9">
      <c r="A615" s="486"/>
      <c r="B615" s="486"/>
      <c r="D615" s="1409"/>
      <c r="E615" s="1409"/>
      <c r="F615" s="1409"/>
      <c r="I615" s="486"/>
    </row>
    <row r="616" spans="1:9">
      <c r="A616" s="486"/>
      <c r="B616" s="486"/>
      <c r="D616" s="1409"/>
      <c r="E616" s="1409"/>
      <c r="F616" s="1409"/>
      <c r="I616" s="486"/>
    </row>
    <row r="617" spans="1:9">
      <c r="A617" s="486"/>
      <c r="B617" s="486"/>
      <c r="D617" s="436"/>
      <c r="E617" s="436"/>
      <c r="F617" s="436"/>
      <c r="I617" s="486"/>
    </row>
    <row r="618" spans="1:9">
      <c r="A618" s="486"/>
      <c r="B618" s="481" t="s">
        <v>2824</v>
      </c>
      <c r="D618" s="1409" t="s">
        <v>2015</v>
      </c>
      <c r="E618" s="1409"/>
      <c r="F618" s="1409"/>
      <c r="I618" s="486"/>
    </row>
    <row r="619" spans="1:9">
      <c r="A619" s="486"/>
      <c r="B619" s="486"/>
      <c r="D619" s="1409"/>
      <c r="E619" s="1409"/>
      <c r="F619" s="1409"/>
      <c r="I619" s="486"/>
    </row>
    <row r="620" spans="1:9">
      <c r="A620" s="486"/>
      <c r="B620" s="486"/>
      <c r="D620" s="495"/>
      <c r="I620" s="486"/>
    </row>
    <row r="621" spans="1:9">
      <c r="A621" s="486"/>
      <c r="B621" s="481" t="s">
        <v>2825</v>
      </c>
      <c r="D621" s="1409" t="s">
        <v>1067</v>
      </c>
      <c r="E621" s="1409"/>
      <c r="F621" s="1409"/>
      <c r="I621" s="486"/>
    </row>
    <row r="622" spans="1:9">
      <c r="A622" s="486"/>
      <c r="B622" s="486"/>
      <c r="D622" s="1409"/>
      <c r="E622" s="1409"/>
      <c r="F622" s="1409"/>
      <c r="I622" s="486"/>
    </row>
    <row r="623" spans="1:9" ht="14.4">
      <c r="A623" s="480"/>
      <c r="B623" s="480"/>
      <c r="D623" s="495"/>
      <c r="I623" s="486"/>
    </row>
    <row r="624" spans="1:9">
      <c r="A624" s="1340" t="s">
        <v>1053</v>
      </c>
      <c r="B624" s="1340"/>
      <c r="C624" s="1340"/>
      <c r="D624" s="1340"/>
      <c r="E624" s="1340"/>
      <c r="F624" s="1340"/>
      <c r="G624" s="1340"/>
      <c r="H624" s="1018"/>
      <c r="I624" s="1142"/>
    </row>
    <row r="625" spans="1:9">
      <c r="I625" s="486"/>
    </row>
    <row r="626" spans="1:9">
      <c r="D626" s="1396" t="s">
        <v>1105</v>
      </c>
      <c r="E626" s="1396"/>
      <c r="F626" s="1396"/>
      <c r="I626" s="486"/>
    </row>
    <row r="627" spans="1:9">
      <c r="D627" s="1383" t="s">
        <v>1106</v>
      </c>
      <c r="E627" s="1383"/>
      <c r="F627" s="1383"/>
      <c r="I627" s="486"/>
    </row>
    <row r="628" spans="1:9">
      <c r="D628" s="440"/>
      <c r="I628" s="486"/>
    </row>
    <row r="629" spans="1:9" ht="14.25" customHeight="1">
      <c r="A629" s="480"/>
      <c r="B629" s="481" t="s">
        <v>2824</v>
      </c>
      <c r="D629" s="1374" t="s">
        <v>1873</v>
      </c>
      <c r="E629" s="1374"/>
      <c r="F629" s="1374"/>
      <c r="I629" s="486"/>
    </row>
    <row r="630" spans="1:9">
      <c r="D630" s="1374"/>
      <c r="E630" s="1374"/>
      <c r="F630" s="1374"/>
      <c r="I630" s="486"/>
    </row>
    <row r="631" spans="1:9">
      <c r="D631" s="381"/>
      <c r="E631" s="1026" t="s">
        <v>1874</v>
      </c>
      <c r="F631" s="381"/>
      <c r="I631" s="486"/>
    </row>
    <row r="632" spans="1:9">
      <c r="I632" s="486"/>
    </row>
    <row r="633" spans="1:9" customFormat="1">
      <c r="A633" s="350"/>
      <c r="B633" s="1261" t="s">
        <v>307</v>
      </c>
      <c r="C633" s="350"/>
      <c r="D633" s="1374" t="s">
        <v>2641</v>
      </c>
      <c r="E633" s="1374"/>
      <c r="F633" s="1374"/>
      <c r="G633" s="3"/>
    </row>
    <row r="634" spans="1:9" customFormat="1">
      <c r="A634" s="350"/>
      <c r="B634" s="350"/>
      <c r="C634" s="350"/>
      <c r="D634" s="1374"/>
      <c r="E634" s="1374"/>
      <c r="F634" s="1374"/>
      <c r="G634" s="3"/>
    </row>
    <row r="635" spans="1:9" customFormat="1">
      <c r="A635" s="350"/>
      <c r="B635" s="350"/>
      <c r="C635" s="350"/>
      <c r="D635" s="1374"/>
      <c r="E635" s="1374"/>
      <c r="F635" s="1374"/>
      <c r="G635" s="3"/>
    </row>
    <row r="636" spans="1:9" customFormat="1">
      <c r="A636" s="350"/>
      <c r="B636" s="350"/>
      <c r="C636" s="350"/>
      <c r="D636" s="1374"/>
      <c r="E636" s="1374"/>
      <c r="F636" s="1374"/>
      <c r="G636" s="3"/>
    </row>
    <row r="637" spans="1:9" customFormat="1">
      <c r="A637" s="350"/>
      <c r="B637" s="350"/>
      <c r="C637" s="350"/>
      <c r="D637" s="381"/>
      <c r="E637" s="1263"/>
      <c r="F637" s="381"/>
      <c r="G637" s="3"/>
    </row>
    <row r="638" spans="1:9">
      <c r="A638" s="1340" t="s">
        <v>1054</v>
      </c>
      <c r="B638" s="1340"/>
      <c r="C638" s="1340"/>
      <c r="D638" s="1340"/>
      <c r="E638" s="1340"/>
      <c r="F638" s="1340"/>
      <c r="G638" s="1340"/>
      <c r="H638" s="1018"/>
      <c r="I638" s="1142"/>
    </row>
    <row r="639" spans="1:9">
      <c r="A639" s="442"/>
      <c r="B639" s="442"/>
      <c r="I639" s="486"/>
    </row>
    <row r="640" spans="1:9">
      <c r="A640" s="478"/>
      <c r="B640" s="478"/>
      <c r="C640" s="478"/>
      <c r="D640" s="1405" t="s">
        <v>1107</v>
      </c>
      <c r="E640" s="1405"/>
      <c r="F640" s="1405"/>
      <c r="I640" s="486"/>
    </row>
    <row r="641" spans="1:9">
      <c r="A641" s="478"/>
      <c r="B641" s="478"/>
      <c r="C641" s="478"/>
      <c r="D641" s="1405"/>
      <c r="E641" s="1405"/>
      <c r="F641" s="1405"/>
      <c r="I641" s="486"/>
    </row>
    <row r="642" spans="1:9">
      <c r="C642" s="479"/>
      <c r="D642" s="1383" t="s">
        <v>1108</v>
      </c>
      <c r="E642" s="1383"/>
      <c r="F642" s="1383"/>
      <c r="I642" s="486"/>
    </row>
    <row r="643" spans="1:9">
      <c r="C643" s="479"/>
      <c r="D643" s="440"/>
      <c r="E643" s="440"/>
      <c r="F643" s="440"/>
      <c r="I643" s="486"/>
    </row>
    <row r="644" spans="1:9">
      <c r="B644" s="481" t="s">
        <v>2824</v>
      </c>
      <c r="C644" s="479"/>
      <c r="D644" s="1375" t="s">
        <v>2591</v>
      </c>
      <c r="E644" s="1375"/>
      <c r="F644" s="1375"/>
      <c r="I644" s="486"/>
    </row>
    <row r="645" spans="1:9">
      <c r="C645" s="479"/>
      <c r="D645" s="440"/>
      <c r="E645" s="440"/>
      <c r="F645" s="440"/>
      <c r="I645" s="486"/>
    </row>
    <row r="646" spans="1:9" ht="12.75" customHeight="1">
      <c r="A646" s="486"/>
      <c r="B646" s="481" t="s">
        <v>2824</v>
      </c>
      <c r="D646" s="1382" t="s">
        <v>1109</v>
      </c>
      <c r="E646" s="1382"/>
      <c r="F646" s="1382"/>
      <c r="I646" s="486"/>
    </row>
    <row r="647" spans="1:9">
      <c r="D647" s="1382"/>
      <c r="E647" s="1382"/>
      <c r="F647" s="1382"/>
      <c r="I647" s="486"/>
    </row>
    <row r="648" spans="1:9">
      <c r="I648" s="486"/>
    </row>
    <row r="649" spans="1:9">
      <c r="B649" s="481" t="s">
        <v>2824</v>
      </c>
      <c r="D649" s="1382" t="s">
        <v>1110</v>
      </c>
      <c r="E649" s="1382"/>
      <c r="F649" s="1382"/>
      <c r="I649" s="486"/>
    </row>
    <row r="650" spans="1:9">
      <c r="C650" s="496"/>
      <c r="D650" s="1382"/>
      <c r="E650" s="1382"/>
      <c r="F650" s="1382"/>
      <c r="I650" s="486"/>
    </row>
    <row r="651" spans="1:9">
      <c r="C651" s="496"/>
      <c r="I651" s="486"/>
    </row>
    <row r="652" spans="1:9">
      <c r="B652" s="481" t="s">
        <v>307</v>
      </c>
      <c r="C652" s="496"/>
      <c r="D652" s="1382" t="s">
        <v>1111</v>
      </c>
      <c r="E652" s="1382"/>
      <c r="F652" s="1382"/>
      <c r="I652" s="486"/>
    </row>
    <row r="653" spans="1:9">
      <c r="C653" s="496"/>
      <c r="D653" s="1382"/>
      <c r="E653" s="1382"/>
      <c r="F653" s="1382"/>
      <c r="I653" s="496"/>
    </row>
    <row r="654" spans="1:9">
      <c r="C654" s="496"/>
      <c r="I654" s="486"/>
    </row>
    <row r="655" spans="1:9">
      <c r="B655" s="481" t="s">
        <v>2824</v>
      </c>
      <c r="C655" s="496"/>
      <c r="D655" s="1375" t="s">
        <v>2537</v>
      </c>
      <c r="E655" s="1375"/>
      <c r="F655" s="1375"/>
      <c r="I655" s="486"/>
    </row>
    <row r="656" spans="1:9">
      <c r="C656" s="496"/>
      <c r="I656" s="486"/>
    </row>
    <row r="657" spans="1:9" customFormat="1" ht="14.4">
      <c r="A657" s="175"/>
      <c r="B657" s="1261" t="s">
        <v>307</v>
      </c>
      <c r="C657" s="350"/>
      <c r="D657" s="1375" t="s">
        <v>2642</v>
      </c>
      <c r="E657" s="1375"/>
      <c r="F657" s="1375"/>
      <c r="G657" s="3"/>
    </row>
    <row r="658" spans="1:9" customFormat="1">
      <c r="A658" s="172"/>
      <c r="B658" s="172"/>
      <c r="C658" s="172"/>
      <c r="D658" s="3"/>
      <c r="E658" s="3"/>
      <c r="F658" s="3"/>
      <c r="G658" s="3"/>
    </row>
    <row r="659" spans="1:9">
      <c r="A659" s="1340" t="s">
        <v>1055</v>
      </c>
      <c r="B659" s="1340"/>
      <c r="C659" s="1340"/>
      <c r="D659" s="1340"/>
      <c r="E659" s="1340"/>
      <c r="F659" s="1340"/>
      <c r="G659" s="1340"/>
      <c r="H659" s="1018"/>
      <c r="I659" s="1142"/>
    </row>
    <row r="660" spans="1:9">
      <c r="A660" s="478"/>
      <c r="B660" s="478"/>
      <c r="C660" s="478"/>
      <c r="I660" s="486"/>
    </row>
    <row r="661" spans="1:9">
      <c r="C661" s="486"/>
      <c r="D661" s="1396" t="s">
        <v>1112</v>
      </c>
      <c r="E661" s="1396"/>
      <c r="F661" s="1396"/>
      <c r="I661" s="486"/>
    </row>
    <row r="662" spans="1:9">
      <c r="A662" s="486"/>
      <c r="B662" s="486"/>
      <c r="D662" s="400"/>
      <c r="I662" s="486"/>
    </row>
    <row r="663" spans="1:9" ht="14.25" customHeight="1">
      <c r="A663" s="480"/>
      <c r="B663" s="481" t="s">
        <v>2824</v>
      </c>
      <c r="D663" s="1374" t="s">
        <v>2016</v>
      </c>
      <c r="E663" s="1374"/>
      <c r="F663" s="1374"/>
      <c r="I663" s="486"/>
    </row>
    <row r="664" spans="1:9">
      <c r="D664" s="1374"/>
      <c r="E664" s="1374"/>
      <c r="F664" s="1374"/>
      <c r="I664" s="486"/>
    </row>
    <row r="665" spans="1:9">
      <c r="D665" s="381"/>
      <c r="E665" s="1026" t="s">
        <v>1876</v>
      </c>
      <c r="F665" s="381"/>
      <c r="I665" s="486"/>
    </row>
    <row r="666" spans="1:9">
      <c r="D666" s="1394" t="s">
        <v>1875</v>
      </c>
      <c r="E666" s="1394"/>
      <c r="F666" s="1394"/>
      <c r="I666" s="486"/>
    </row>
    <row r="667" spans="1:9">
      <c r="D667" s="1394"/>
      <c r="E667" s="1394"/>
      <c r="F667" s="1394"/>
      <c r="I667" s="486"/>
    </row>
    <row r="668" spans="1:9">
      <c r="D668" s="1394"/>
      <c r="E668" s="1394"/>
      <c r="F668" s="1394"/>
      <c r="I668" s="486"/>
    </row>
    <row r="669" spans="1:9">
      <c r="D669" s="441"/>
      <c r="E669" s="441"/>
      <c r="F669" s="441"/>
      <c r="I669" s="486"/>
    </row>
    <row r="670" spans="1:9" ht="14.4">
      <c r="A670" s="480"/>
      <c r="B670" s="481" t="s">
        <v>2825</v>
      </c>
      <c r="D670" s="1394" t="s">
        <v>1113</v>
      </c>
      <c r="E670" s="1394"/>
      <c r="F670" s="1394"/>
      <c r="I670" s="486"/>
    </row>
    <row r="671" spans="1:9">
      <c r="A671" s="483"/>
      <c r="B671" s="483"/>
      <c r="C671" s="483"/>
      <c r="D671" s="1394"/>
      <c r="E671" s="1394"/>
      <c r="F671" s="1394"/>
      <c r="I671" s="486"/>
    </row>
    <row r="672" spans="1:9">
      <c r="A672" s="483"/>
      <c r="B672" s="483"/>
      <c r="C672" s="483"/>
      <c r="D672" s="442"/>
      <c r="E672" s="442"/>
      <c r="F672" s="442"/>
      <c r="I672" s="486"/>
    </row>
    <row r="673" spans="1:9" ht="14.4">
      <c r="A673" s="480"/>
      <c r="B673" s="481" t="s">
        <v>2825</v>
      </c>
      <c r="C673" s="483"/>
      <c r="D673" s="1394" t="s">
        <v>1222</v>
      </c>
      <c r="E673" s="1394"/>
      <c r="F673" s="1394"/>
      <c r="I673" s="486"/>
    </row>
    <row r="674" spans="1:9" ht="14.4">
      <c r="A674" s="480"/>
      <c r="B674" s="480"/>
      <c r="C674" s="483"/>
      <c r="D674" s="1394"/>
      <c r="E674" s="1394"/>
      <c r="F674" s="1394"/>
      <c r="I674" s="486"/>
    </row>
    <row r="675" spans="1:9" ht="14.4">
      <c r="A675" s="480"/>
      <c r="B675" s="480"/>
      <c r="C675" s="483"/>
      <c r="D675" s="1394"/>
      <c r="E675" s="1394"/>
      <c r="F675" s="1394"/>
      <c r="I675" s="486"/>
    </row>
    <row r="676" spans="1:9">
      <c r="A676" s="483"/>
      <c r="B676" s="481" t="s">
        <v>2825</v>
      </c>
      <c r="C676" s="483"/>
      <c r="D676" s="1395" t="s">
        <v>1114</v>
      </c>
      <c r="E676" s="1395"/>
      <c r="F676" s="1395"/>
      <c r="I676" s="486"/>
    </row>
    <row r="677" spans="1:9">
      <c r="A677" s="483"/>
      <c r="B677" s="483"/>
      <c r="C677" s="483"/>
      <c r="D677" s="442"/>
      <c r="E677" s="442"/>
      <c r="F677" s="442"/>
      <c r="I677" s="486"/>
    </row>
    <row r="678" spans="1:9">
      <c r="A678" s="1340" t="s">
        <v>1056</v>
      </c>
      <c r="B678" s="1340"/>
      <c r="C678" s="1340"/>
      <c r="D678" s="1340"/>
      <c r="E678" s="1340"/>
      <c r="F678" s="1340"/>
      <c r="G678" s="1340"/>
      <c r="H678" s="1018"/>
      <c r="I678" s="1142"/>
    </row>
    <row r="679" spans="1:9">
      <c r="A679" s="442"/>
      <c r="B679" s="442"/>
      <c r="C679" s="483"/>
      <c r="D679" s="442"/>
      <c r="E679" s="442"/>
      <c r="F679" s="442"/>
      <c r="I679" s="486"/>
    </row>
    <row r="680" spans="1:9">
      <c r="C680" s="478"/>
      <c r="D680" s="1396" t="s">
        <v>1143</v>
      </c>
      <c r="E680" s="1396"/>
      <c r="F680" s="1396"/>
      <c r="I680" s="486"/>
    </row>
    <row r="681" spans="1:9">
      <c r="A681" s="479"/>
      <c r="B681" s="479"/>
      <c r="C681" s="479"/>
      <c r="D681" s="1395" t="s">
        <v>1144</v>
      </c>
      <c r="E681" s="1395"/>
      <c r="F681" s="1395"/>
      <c r="I681" s="486"/>
    </row>
    <row r="682" spans="1:9">
      <c r="A682" s="479"/>
      <c r="B682" s="479"/>
      <c r="C682" s="479"/>
      <c r="D682" s="442"/>
      <c r="E682" s="442"/>
      <c r="F682" s="442"/>
      <c r="I682" s="486"/>
    </row>
    <row r="683" spans="1:9" ht="12.75" customHeight="1">
      <c r="B683" s="481" t="s">
        <v>2825</v>
      </c>
      <c r="C683" s="483"/>
      <c r="D683" s="1394" t="s">
        <v>1278</v>
      </c>
      <c r="E683" s="1394"/>
      <c r="F683" s="1394"/>
      <c r="I683" s="486"/>
    </row>
    <row r="684" spans="1:9">
      <c r="D684" s="1394"/>
      <c r="E684" s="1394"/>
      <c r="F684" s="1394"/>
      <c r="I684" s="486"/>
    </row>
    <row r="685" spans="1:9">
      <c r="D685" s="1394"/>
      <c r="E685" s="1394"/>
      <c r="F685" s="1394"/>
      <c r="I685" s="486"/>
    </row>
    <row r="686" spans="1:9">
      <c r="D686" s="1394"/>
      <c r="E686" s="1394"/>
      <c r="F686" s="1394"/>
      <c r="I686" s="486"/>
    </row>
    <row r="687" spans="1:9" ht="14.4" customHeight="1">
      <c r="A687" s="480"/>
      <c r="B687" s="480"/>
      <c r="C687" s="483"/>
      <c r="D687" s="381"/>
      <c r="E687" s="381"/>
      <c r="F687" s="381"/>
      <c r="I687" s="486"/>
    </row>
    <row r="688" spans="1:9" ht="12.75" customHeight="1">
      <c r="A688" s="479"/>
      <c r="B688" s="481" t="s">
        <v>2825</v>
      </c>
      <c r="C688" s="483"/>
      <c r="D688" s="1394" t="s">
        <v>1280</v>
      </c>
      <c r="E688" s="1394"/>
      <c r="F688" s="1394"/>
      <c r="I688" s="486"/>
    </row>
    <row r="689" spans="1:9" ht="14.4">
      <c r="A689" s="479"/>
      <c r="B689" s="480"/>
      <c r="C689" s="483"/>
      <c r="D689" s="1394"/>
      <c r="E689" s="1394"/>
      <c r="F689" s="1394"/>
      <c r="I689" s="486"/>
    </row>
    <row r="690" spans="1:9" ht="14.4">
      <c r="A690" s="479"/>
      <c r="B690" s="480"/>
      <c r="C690" s="483"/>
      <c r="D690" s="1394"/>
      <c r="E690" s="1394"/>
      <c r="F690" s="1394"/>
      <c r="I690" s="486"/>
    </row>
    <row r="691" spans="1:9" ht="14.4">
      <c r="A691" s="479"/>
      <c r="B691" s="480"/>
      <c r="C691" s="483"/>
      <c r="D691" s="1394"/>
      <c r="E691" s="1394"/>
      <c r="F691" s="1394"/>
      <c r="I691" s="486"/>
    </row>
    <row r="692" spans="1:9" ht="14.4">
      <c r="A692" s="479"/>
      <c r="B692" s="480"/>
      <c r="C692" s="483"/>
      <c r="D692" s="1394"/>
      <c r="E692" s="1394"/>
      <c r="F692" s="1394"/>
      <c r="I692" s="486"/>
    </row>
    <row r="693" spans="1:9" ht="14.25" customHeight="1">
      <c r="A693" s="479"/>
      <c r="B693" s="480"/>
      <c r="C693" s="483"/>
      <c r="F693" s="382"/>
      <c r="I693" s="486"/>
    </row>
    <row r="694" spans="1:9" ht="12.75" customHeight="1">
      <c r="A694" s="479"/>
      <c r="B694" s="481" t="s">
        <v>2825</v>
      </c>
      <c r="C694" s="483"/>
      <c r="D694" s="1394" t="s">
        <v>1279</v>
      </c>
      <c r="E694" s="1394"/>
      <c r="F694" s="1394"/>
      <c r="I694" s="486"/>
    </row>
    <row r="695" spans="1:9" ht="14.4">
      <c r="A695" s="479"/>
      <c r="B695" s="480"/>
      <c r="C695" s="483"/>
      <c r="D695" s="1394"/>
      <c r="E695" s="1394"/>
      <c r="F695" s="1394"/>
      <c r="I695" s="486"/>
    </row>
    <row r="696" spans="1:9" ht="14.4">
      <c r="A696" s="480"/>
      <c r="B696" s="480"/>
      <c r="C696" s="483"/>
      <c r="D696" s="1394"/>
      <c r="E696" s="1394"/>
      <c r="F696" s="1394"/>
      <c r="I696" s="486"/>
    </row>
    <row r="697" spans="1:9" ht="14.4">
      <c r="A697" s="480"/>
      <c r="B697" s="480"/>
      <c r="C697" s="483"/>
      <c r="D697" s="1394"/>
      <c r="E697" s="1394"/>
      <c r="F697" s="1394"/>
      <c r="I697" s="486"/>
    </row>
    <row r="698" spans="1:9" ht="14.4">
      <c r="A698" s="480"/>
      <c r="B698" s="480"/>
      <c r="C698" s="483"/>
      <c r="D698" s="441"/>
      <c r="E698" s="441"/>
      <c r="F698" s="441"/>
      <c r="I698" s="486"/>
    </row>
    <row r="699" spans="1:9" ht="12.75" customHeight="1">
      <c r="A699" s="479"/>
      <c r="B699" s="481" t="s">
        <v>2825</v>
      </c>
      <c r="C699" s="483"/>
      <c r="D699" s="1394" t="s">
        <v>2017</v>
      </c>
      <c r="E699" s="1394"/>
      <c r="F699" s="1394"/>
      <c r="I699" s="486"/>
    </row>
    <row r="700" spans="1:9" ht="12.75" customHeight="1">
      <c r="A700" s="479"/>
      <c r="B700" s="480"/>
      <c r="C700" s="483"/>
      <c r="D700" s="1394"/>
      <c r="E700" s="1394"/>
      <c r="F700" s="1394"/>
      <c r="I700" s="486"/>
    </row>
    <row r="701" spans="1:9" ht="12.75" customHeight="1">
      <c r="A701" s="479"/>
      <c r="B701" s="480"/>
      <c r="C701" s="483"/>
      <c r="D701" s="1394"/>
      <c r="E701" s="1394"/>
      <c r="F701" s="1394"/>
      <c r="I701" s="486"/>
    </row>
    <row r="702" spans="1:9" ht="12.75" customHeight="1">
      <c r="A702" s="479"/>
      <c r="B702" s="480"/>
      <c r="C702" s="483"/>
      <c r="D702" s="1394"/>
      <c r="E702" s="1394"/>
      <c r="F702" s="1394"/>
      <c r="I702" s="486"/>
    </row>
    <row r="703" spans="1:9" ht="12.75" customHeight="1">
      <c r="A703" s="479"/>
      <c r="B703" s="480"/>
      <c r="C703" s="483"/>
      <c r="D703" s="1394"/>
      <c r="E703" s="1394"/>
      <c r="F703" s="1394"/>
      <c r="I703" s="486"/>
    </row>
    <row r="704" spans="1:9" ht="12.75" customHeight="1">
      <c r="A704" s="479"/>
      <c r="B704" s="480"/>
      <c r="C704" s="483"/>
      <c r="D704" s="1394"/>
      <c r="E704" s="1394"/>
      <c r="F704" s="1394"/>
      <c r="I704" s="486"/>
    </row>
    <row r="705" spans="1:11" ht="12.75" customHeight="1">
      <c r="A705" s="479"/>
      <c r="B705" s="480"/>
      <c r="C705" s="483"/>
      <c r="D705" s="1394"/>
      <c r="E705" s="1394"/>
      <c r="F705" s="1394"/>
      <c r="I705" s="486"/>
    </row>
    <row r="706" spans="1:11" ht="12.75" customHeight="1">
      <c r="A706" s="479"/>
      <c r="B706" s="480"/>
      <c r="C706" s="483"/>
      <c r="D706" s="1394"/>
      <c r="E706" s="1394"/>
      <c r="F706" s="1394"/>
      <c r="I706" s="486"/>
    </row>
    <row r="707" spans="1:11" ht="12.75" customHeight="1">
      <c r="A707" s="479"/>
      <c r="B707" s="480"/>
      <c r="C707" s="483"/>
      <c r="D707" s="1394"/>
      <c r="E707" s="1394"/>
      <c r="F707" s="1394"/>
      <c r="I707" s="486"/>
    </row>
    <row r="708" spans="1:11">
      <c r="A708" s="483"/>
      <c r="B708" s="483"/>
      <c r="C708" s="483"/>
      <c r="D708" s="442"/>
      <c r="E708" s="442"/>
      <c r="F708" s="442"/>
      <c r="I708" s="486"/>
    </row>
    <row r="709" spans="1:11">
      <c r="A709" s="1340" t="s">
        <v>1057</v>
      </c>
      <c r="B709" s="1340"/>
      <c r="C709" s="1340"/>
      <c r="D709" s="1340"/>
      <c r="E709" s="1340"/>
      <c r="F709" s="1340"/>
      <c r="G709" s="1340"/>
      <c r="H709" s="1020"/>
      <c r="I709" s="1146"/>
      <c r="J709" s="497"/>
      <c r="K709" s="497"/>
    </row>
    <row r="710" spans="1:11">
      <c r="A710" s="444"/>
      <c r="B710" s="444"/>
      <c r="C710" s="444"/>
      <c r="D710" s="444"/>
      <c r="E710" s="444"/>
      <c r="F710" s="444"/>
      <c r="G710" s="444"/>
      <c r="H710" s="497"/>
      <c r="I710" s="479"/>
      <c r="J710" s="497"/>
      <c r="K710" s="497"/>
    </row>
    <row r="711" spans="1:11">
      <c r="C711" s="478"/>
      <c r="D711" s="1396" t="s">
        <v>99</v>
      </c>
      <c r="E711" s="1396"/>
      <c r="F711" s="1396"/>
      <c r="H711" s="497"/>
      <c r="I711" s="479"/>
      <c r="J711" s="497"/>
      <c r="K711" s="497"/>
    </row>
    <row r="712" spans="1:11">
      <c r="A712" s="478"/>
      <c r="B712" s="478"/>
      <c r="C712" s="478"/>
      <c r="D712" s="1396" t="s">
        <v>123</v>
      </c>
      <c r="E712" s="1396"/>
      <c r="F712" s="1396"/>
      <c r="H712" s="497"/>
      <c r="I712" s="479"/>
      <c r="J712" s="497"/>
      <c r="K712" s="497"/>
    </row>
    <row r="713" spans="1:11">
      <c r="A713" s="479"/>
      <c r="B713" s="479"/>
      <c r="C713" s="479"/>
      <c r="D713" s="1395" t="s">
        <v>1074</v>
      </c>
      <c r="E713" s="1395"/>
      <c r="F713" s="1395"/>
      <c r="H713" s="497"/>
      <c r="I713" s="479"/>
      <c r="J713" s="497"/>
      <c r="K713" s="497"/>
    </row>
    <row r="714" spans="1:11">
      <c r="A714" s="479"/>
      <c r="B714" s="479"/>
      <c r="C714" s="479"/>
      <c r="H714" s="497"/>
      <c r="I714" s="479"/>
      <c r="J714" s="497"/>
      <c r="K714" s="497"/>
    </row>
    <row r="715" spans="1:11" ht="14.4">
      <c r="A715" s="480"/>
      <c r="B715" s="481" t="s">
        <v>2825</v>
      </c>
      <c r="C715" s="479"/>
      <c r="D715" s="1395" t="s">
        <v>883</v>
      </c>
      <c r="E715" s="1395"/>
      <c r="F715" s="1395"/>
      <c r="H715" s="497"/>
      <c r="I715" s="479"/>
      <c r="J715" s="497"/>
      <c r="K715" s="497"/>
    </row>
    <row r="716" spans="1:11">
      <c r="A716" s="479"/>
      <c r="B716" s="479"/>
      <c r="C716" s="479"/>
      <c r="D716" s="1395" t="s">
        <v>892</v>
      </c>
      <c r="E716" s="1395"/>
      <c r="F716" s="1395"/>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c r="A719" s="479"/>
      <c r="B719" s="479"/>
      <c r="C719" s="479"/>
      <c r="D719" s="498"/>
      <c r="E719" s="442"/>
      <c r="H719" s="497"/>
      <c r="I719" s="479"/>
      <c r="J719" s="497"/>
      <c r="K719" s="497"/>
    </row>
    <row r="720" spans="1:11" ht="14.4">
      <c r="A720" s="480"/>
      <c r="B720" s="481" t="s">
        <v>2824</v>
      </c>
      <c r="C720" s="479"/>
      <c r="D720" s="1394" t="s">
        <v>2018</v>
      </c>
      <c r="E720" s="1394"/>
      <c r="F720" s="1394"/>
      <c r="H720" s="497"/>
      <c r="I720" s="479"/>
      <c r="J720" s="497"/>
      <c r="K720" s="497"/>
    </row>
    <row r="721" spans="1:11">
      <c r="A721" s="486"/>
      <c r="B721" s="486"/>
      <c r="C721" s="479"/>
      <c r="D721" s="1394"/>
      <c r="E721" s="1394"/>
      <c r="F721" s="1394"/>
      <c r="H721" s="497"/>
      <c r="I721" s="479"/>
      <c r="J721" s="497"/>
      <c r="K721" s="497"/>
    </row>
    <row r="722" spans="1:11">
      <c r="A722" s="479"/>
      <c r="B722" s="479"/>
      <c r="C722" s="479"/>
      <c r="D722" s="1394"/>
      <c r="E722" s="1394"/>
      <c r="F722" s="1394"/>
      <c r="H722" s="497"/>
      <c r="I722" s="479"/>
      <c r="J722" s="497"/>
      <c r="K722" s="497"/>
    </row>
    <row r="723" spans="1:11">
      <c r="A723" s="479"/>
      <c r="B723" s="479"/>
      <c r="C723" s="479"/>
      <c r="H723" s="497"/>
      <c r="J723" s="497"/>
      <c r="K723" s="497"/>
    </row>
    <row r="724" spans="1:11" ht="14.4">
      <c r="A724" s="480"/>
      <c r="B724" s="481" t="s">
        <v>2824</v>
      </c>
      <c r="C724" s="479"/>
      <c r="D724" s="1395" t="s">
        <v>915</v>
      </c>
      <c r="E724" s="1395"/>
      <c r="F724" s="1395"/>
      <c r="H724" s="497"/>
      <c r="I724" s="479"/>
      <c r="J724" s="497"/>
      <c r="K724" s="497"/>
    </row>
    <row r="725" spans="1:11" ht="14.4">
      <c r="A725" s="480"/>
      <c r="B725" s="480"/>
      <c r="C725" s="479"/>
      <c r="D725" s="1395" t="s">
        <v>892</v>
      </c>
      <c r="E725" s="1395"/>
      <c r="F725" s="1395"/>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ht="14.4">
      <c r="A728" s="480"/>
      <c r="B728" s="481" t="s">
        <v>2825</v>
      </c>
      <c r="C728" s="479"/>
      <c r="D728" s="1395" t="s">
        <v>2391</v>
      </c>
      <c r="E728" s="1395"/>
      <c r="F728" s="1395"/>
      <c r="H728" s="497"/>
      <c r="I728" s="479"/>
      <c r="J728" s="497"/>
      <c r="K728" s="497"/>
    </row>
    <row r="729" spans="1:11" ht="14.4">
      <c r="A729" s="480"/>
      <c r="B729" s="480"/>
      <c r="C729" s="479"/>
      <c r="D729" s="1395" t="s">
        <v>892</v>
      </c>
      <c r="E729" s="1395"/>
      <c r="F729" s="1395"/>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ht="14.4">
      <c r="A732" s="480"/>
      <c r="B732" s="481" t="s">
        <v>2825</v>
      </c>
      <c r="C732" s="479"/>
      <c r="D732" s="1394" t="s">
        <v>2189</v>
      </c>
      <c r="E732" s="1394"/>
      <c r="F732" s="1394"/>
      <c r="H732" s="497"/>
      <c r="I732" s="479"/>
      <c r="J732" s="497"/>
      <c r="K732" s="497"/>
    </row>
    <row r="733" spans="1:11">
      <c r="A733" s="479"/>
      <c r="B733" s="479"/>
      <c r="C733" s="479"/>
      <c r="D733" s="1394"/>
      <c r="E733" s="1394"/>
      <c r="F733" s="1394"/>
      <c r="H733" s="497"/>
      <c r="I733" s="479"/>
      <c r="J733" s="497"/>
      <c r="K733" s="497"/>
    </row>
    <row r="734" spans="1:11">
      <c r="A734" s="479"/>
      <c r="B734" s="479"/>
      <c r="C734" s="479"/>
      <c r="D734" s="1394"/>
      <c r="E734" s="1394"/>
      <c r="F734" s="1394"/>
      <c r="H734" s="497"/>
      <c r="I734" s="479"/>
      <c r="J734" s="497"/>
      <c r="K734" s="497"/>
    </row>
    <row r="735" spans="1:11">
      <c r="A735" s="479"/>
      <c r="B735" s="479"/>
      <c r="C735" s="479"/>
      <c r="D735" s="1394"/>
      <c r="E735" s="1394"/>
      <c r="F735" s="1394"/>
      <c r="H735" s="497"/>
      <c r="I735" s="479"/>
      <c r="J735" s="497"/>
      <c r="K735" s="497"/>
    </row>
    <row r="736" spans="1:11">
      <c r="A736" s="479"/>
      <c r="B736" s="479"/>
      <c r="C736" s="479"/>
      <c r="D736" s="1394"/>
      <c r="E736" s="1394"/>
      <c r="F736" s="1394"/>
      <c r="H736" s="497"/>
      <c r="I736" s="479"/>
      <c r="J736" s="497"/>
      <c r="K736" s="497"/>
    </row>
    <row r="737" spans="1:11">
      <c r="A737" s="479"/>
      <c r="B737" s="479"/>
      <c r="C737" s="479"/>
      <c r="D737" s="1394"/>
      <c r="E737" s="1394"/>
      <c r="F737" s="1394"/>
      <c r="H737" s="497"/>
      <c r="I737" s="479"/>
      <c r="J737" s="497"/>
      <c r="K737" s="497"/>
    </row>
    <row r="738" spans="1:11">
      <c r="A738" s="479"/>
      <c r="B738" s="479"/>
      <c r="C738" s="479"/>
      <c r="D738" s="441"/>
      <c r="E738" s="441"/>
      <c r="F738" s="441"/>
      <c r="H738" s="497"/>
      <c r="I738" s="479"/>
      <c r="J738" s="497"/>
      <c r="K738" s="497"/>
    </row>
    <row r="739" spans="1:11">
      <c r="A739" s="479"/>
      <c r="B739" s="481" t="s">
        <v>2825</v>
      </c>
      <c r="C739" s="479"/>
      <c r="D739" s="1394" t="s">
        <v>1198</v>
      </c>
      <c r="E739" s="1394"/>
      <c r="F739" s="1394"/>
      <c r="H739" s="497"/>
      <c r="I739" s="479"/>
      <c r="J739" s="497"/>
      <c r="K739" s="497"/>
    </row>
    <row r="740" spans="1:11">
      <c r="A740" s="479"/>
      <c r="B740" s="479"/>
      <c r="C740" s="479"/>
      <c r="D740" s="1394"/>
      <c r="E740" s="1394"/>
      <c r="F740" s="1394"/>
      <c r="H740" s="497"/>
      <c r="I740" s="479"/>
      <c r="J740" s="497"/>
      <c r="K740" s="497"/>
    </row>
    <row r="741" spans="1:11">
      <c r="A741" s="479"/>
      <c r="B741" s="479"/>
      <c r="C741" s="479"/>
      <c r="D741" s="441"/>
      <c r="E741" s="441"/>
      <c r="F741" s="441"/>
      <c r="H741" s="497"/>
      <c r="I741" s="479"/>
      <c r="J741" s="497"/>
      <c r="K741" s="497"/>
    </row>
    <row r="742" spans="1:11" ht="14.4">
      <c r="A742" s="480"/>
      <c r="B742" s="481" t="s">
        <v>2825</v>
      </c>
      <c r="C742" s="479"/>
      <c r="D742" s="1394" t="s">
        <v>1075</v>
      </c>
      <c r="E742" s="1394"/>
      <c r="F742" s="1394"/>
      <c r="H742" s="497"/>
      <c r="I742" s="479"/>
      <c r="J742" s="497"/>
      <c r="K742" s="497"/>
    </row>
    <row r="743" spans="1:11">
      <c r="A743" s="479"/>
      <c r="B743" s="479"/>
      <c r="C743" s="479"/>
      <c r="D743" s="1394"/>
      <c r="E743" s="1394"/>
      <c r="F743" s="1394"/>
      <c r="H743" s="497"/>
      <c r="I743" s="479"/>
      <c r="J743" s="497"/>
      <c r="K743" s="497"/>
    </row>
    <row r="744" spans="1:11">
      <c r="A744" s="479"/>
      <c r="B744" s="479"/>
      <c r="C744" s="479"/>
      <c r="D744" s="1394"/>
      <c r="E744" s="1394"/>
      <c r="F744" s="1394"/>
      <c r="H744" s="497"/>
      <c r="I744" s="479"/>
      <c r="J744" s="497"/>
      <c r="K744" s="497"/>
    </row>
    <row r="745" spans="1:11" ht="15" customHeight="1">
      <c r="A745" s="479"/>
      <c r="B745" s="479"/>
      <c r="C745" s="479"/>
      <c r="D745" s="1394"/>
      <c r="E745" s="1394"/>
      <c r="F745" s="1394"/>
      <c r="H745" s="497"/>
      <c r="I745" s="479"/>
      <c r="J745" s="497"/>
      <c r="K745" s="497"/>
    </row>
    <row r="746" spans="1:11" ht="15" customHeight="1">
      <c r="A746" s="479"/>
      <c r="B746" s="479"/>
      <c r="C746" s="479"/>
      <c r="D746" s="1394"/>
      <c r="E746" s="1394"/>
      <c r="F746" s="1394"/>
      <c r="H746" s="497"/>
      <c r="I746" s="479"/>
      <c r="J746" s="497"/>
      <c r="K746" s="497"/>
    </row>
    <row r="747" spans="1:11">
      <c r="A747" s="479"/>
      <c r="B747" s="479"/>
      <c r="C747" s="479"/>
      <c r="D747" s="1394"/>
      <c r="E747" s="1394"/>
      <c r="F747" s="1394"/>
      <c r="H747" s="497"/>
      <c r="I747" s="479"/>
      <c r="J747" s="497"/>
      <c r="K747" s="497"/>
    </row>
    <row r="748" spans="1:11">
      <c r="A748" s="479"/>
      <c r="B748" s="479"/>
      <c r="C748" s="479"/>
      <c r="D748" s="1394"/>
      <c r="E748" s="1394"/>
      <c r="F748" s="1394"/>
      <c r="H748" s="497"/>
      <c r="I748" s="479"/>
      <c r="J748" s="497"/>
      <c r="K748" s="497"/>
    </row>
    <row r="749" spans="1:11">
      <c r="A749" s="479"/>
      <c r="B749" s="479"/>
      <c r="C749" s="479"/>
      <c r="D749" s="1394"/>
      <c r="E749" s="1394"/>
      <c r="F749" s="1394"/>
      <c r="H749" s="497"/>
      <c r="I749" s="479"/>
      <c r="J749" s="497"/>
      <c r="K749" s="497"/>
    </row>
    <row r="750" spans="1:11" ht="15" customHeight="1">
      <c r="A750" s="479"/>
      <c r="B750" s="479"/>
      <c r="C750" s="479"/>
      <c r="D750" s="1394"/>
      <c r="E750" s="1394"/>
      <c r="F750" s="1394"/>
      <c r="H750" s="497"/>
      <c r="I750" s="479"/>
      <c r="J750" s="497"/>
      <c r="K750" s="497"/>
    </row>
    <row r="751" spans="1:11">
      <c r="A751" s="479"/>
      <c r="B751" s="479"/>
      <c r="C751" s="479"/>
      <c r="D751" s="1394"/>
      <c r="E751" s="1394"/>
      <c r="F751" s="1394"/>
      <c r="H751" s="497"/>
      <c r="I751" s="479"/>
      <c r="J751" s="497"/>
      <c r="K751" s="497"/>
    </row>
    <row r="752" spans="1:11">
      <c r="A752" s="479"/>
      <c r="B752" s="479"/>
      <c r="C752" s="479"/>
      <c r="D752" s="1394"/>
      <c r="E752" s="1394"/>
      <c r="F752" s="1394"/>
      <c r="H752" s="497"/>
      <c r="I752" s="479"/>
      <c r="J752" s="497"/>
      <c r="K752" s="497"/>
    </row>
    <row r="753" spans="1:11">
      <c r="A753" s="479"/>
      <c r="B753" s="479"/>
      <c r="C753" s="479"/>
      <c r="D753" s="1394"/>
      <c r="E753" s="1394"/>
      <c r="F753" s="1394"/>
      <c r="H753" s="497"/>
      <c r="I753" s="479"/>
      <c r="J753" s="497"/>
      <c r="K753" s="497"/>
    </row>
    <row r="754" spans="1:11">
      <c r="A754" s="479"/>
      <c r="B754" s="479"/>
      <c r="C754" s="479"/>
      <c r="D754" s="1394"/>
      <c r="E754" s="1394"/>
      <c r="F754" s="1394"/>
      <c r="H754" s="497"/>
      <c r="I754" s="479"/>
      <c r="J754" s="497"/>
      <c r="K754" s="497"/>
    </row>
    <row r="755" spans="1:11">
      <c r="A755" s="479"/>
      <c r="B755" s="481" t="s">
        <v>2825</v>
      </c>
      <c r="C755" s="479"/>
      <c r="D755" s="1394" t="s">
        <v>2384</v>
      </c>
      <c r="E755" s="1394"/>
      <c r="F755" s="1394"/>
      <c r="H755" s="497"/>
      <c r="I755" s="479"/>
      <c r="J755" s="497"/>
      <c r="K755" s="497"/>
    </row>
    <row r="756" spans="1:11">
      <c r="A756" s="479"/>
      <c r="B756" s="479"/>
      <c r="C756" s="479"/>
      <c r="D756" s="1394"/>
      <c r="E756" s="1394"/>
      <c r="F756" s="1394"/>
      <c r="H756" s="497"/>
      <c r="I756" s="479"/>
      <c r="J756" s="497"/>
      <c r="K756" s="497"/>
    </row>
    <row r="757" spans="1:11">
      <c r="A757" s="479"/>
      <c r="B757" s="479"/>
      <c r="C757" s="479"/>
      <c r="D757" s="1394"/>
      <c r="E757" s="1394"/>
      <c r="F757" s="1394"/>
      <c r="H757" s="497"/>
      <c r="I757" s="479"/>
      <c r="J757" s="497"/>
      <c r="K757" s="497"/>
    </row>
    <row r="758" spans="1:11">
      <c r="A758" s="479"/>
      <c r="B758" s="479"/>
      <c r="C758" s="479"/>
      <c r="D758" s="441"/>
      <c r="E758" s="441"/>
      <c r="F758" s="441"/>
      <c r="H758" s="497"/>
      <c r="I758" s="479"/>
      <c r="J758" s="497"/>
      <c r="K758" s="497"/>
    </row>
    <row r="759" spans="1:11">
      <c r="A759" s="479"/>
      <c r="B759" s="481" t="s">
        <v>307</v>
      </c>
      <c r="C759" s="479"/>
      <c r="D759" s="1394" t="s">
        <v>2383</v>
      </c>
      <c r="E759" s="1394"/>
      <c r="F759" s="1394"/>
      <c r="H759" s="497"/>
      <c r="I759" s="479"/>
      <c r="J759" s="497"/>
      <c r="K759" s="497"/>
    </row>
    <row r="760" spans="1:11">
      <c r="A760" s="479"/>
      <c r="B760" s="479"/>
      <c r="C760" s="479"/>
      <c r="D760" s="1394"/>
      <c r="E760" s="1394"/>
      <c r="F760" s="1394"/>
      <c r="H760" s="497"/>
      <c r="I760" s="479"/>
      <c r="J760" s="497"/>
      <c r="K760" s="497"/>
    </row>
    <row r="761" spans="1:11">
      <c r="A761" s="479"/>
      <c r="B761" s="479"/>
      <c r="C761" s="479"/>
      <c r="D761" s="1394"/>
      <c r="E761" s="1394"/>
      <c r="F761" s="1394"/>
      <c r="H761" s="497"/>
      <c r="I761" s="479"/>
      <c r="J761" s="497"/>
      <c r="K761" s="497"/>
    </row>
    <row r="762" spans="1:11">
      <c r="A762" s="479"/>
      <c r="B762" s="479"/>
      <c r="C762" s="479"/>
      <c r="H762" s="497"/>
      <c r="I762" s="479"/>
      <c r="J762" s="497"/>
      <c r="K762" s="497"/>
    </row>
    <row r="763" spans="1:11">
      <c r="A763" s="479"/>
      <c r="B763" s="481" t="s">
        <v>2825</v>
      </c>
      <c r="C763" s="479"/>
      <c r="D763" s="1394" t="s">
        <v>2382</v>
      </c>
      <c r="E763" s="1394"/>
      <c r="F763" s="1394"/>
      <c r="H763" s="497"/>
      <c r="I763" s="479"/>
      <c r="J763" s="497"/>
      <c r="K763" s="497"/>
    </row>
    <row r="764" spans="1:11">
      <c r="A764" s="479"/>
      <c r="B764" s="479"/>
      <c r="C764" s="479"/>
      <c r="D764" s="1394"/>
      <c r="E764" s="1394"/>
      <c r="F764" s="1394"/>
      <c r="H764" s="497"/>
      <c r="I764" s="479"/>
      <c r="J764" s="497"/>
      <c r="K764" s="497"/>
    </row>
    <row r="765" spans="1:11">
      <c r="A765" s="479"/>
      <c r="B765" s="479"/>
      <c r="C765" s="479"/>
      <c r="D765" s="1394"/>
      <c r="E765" s="1394"/>
      <c r="F765" s="1394"/>
      <c r="H765" s="497"/>
      <c r="I765" s="479"/>
      <c r="J765" s="497"/>
      <c r="K765" s="497"/>
    </row>
    <row r="766" spans="1:11">
      <c r="A766" s="479"/>
      <c r="B766" s="479"/>
      <c r="C766" s="479"/>
      <c r="D766" s="1394"/>
      <c r="E766" s="1394"/>
      <c r="F766" s="1394"/>
      <c r="H766" s="497"/>
      <c r="I766" s="479"/>
      <c r="J766" s="497"/>
      <c r="K766" s="497"/>
    </row>
    <row r="767" spans="1:11">
      <c r="A767" s="479"/>
      <c r="B767" s="479"/>
      <c r="C767" s="479"/>
      <c r="H767" s="497"/>
      <c r="I767" s="479"/>
      <c r="J767" s="497"/>
      <c r="K767" s="497"/>
    </row>
    <row r="768" spans="1:11" ht="14.4">
      <c r="A768" s="480"/>
      <c r="B768" s="481" t="s">
        <v>2825</v>
      </c>
      <c r="C768" s="479"/>
      <c r="D768" s="1394" t="s">
        <v>1076</v>
      </c>
      <c r="E768" s="1394"/>
      <c r="F768" s="1394"/>
      <c r="H768" s="497"/>
      <c r="I768" s="479"/>
      <c r="J768" s="497"/>
      <c r="K768" s="497"/>
    </row>
    <row r="769" spans="1:11">
      <c r="A769" s="479"/>
      <c r="B769" s="479"/>
      <c r="C769" s="479"/>
      <c r="D769" s="1394"/>
      <c r="E769" s="1394"/>
      <c r="F769" s="1394"/>
      <c r="H769" s="497"/>
      <c r="I769" s="479"/>
      <c r="J769" s="497"/>
      <c r="K769" s="497"/>
    </row>
    <row r="770" spans="1:11">
      <c r="A770" s="479"/>
      <c r="B770" s="479"/>
      <c r="C770" s="479"/>
      <c r="D770" s="1394"/>
      <c r="E770" s="1394"/>
      <c r="F770" s="1394"/>
      <c r="H770" s="497"/>
      <c r="I770" s="479"/>
      <c r="J770" s="497"/>
      <c r="K770" s="497"/>
    </row>
    <row r="771" spans="1:11">
      <c r="A771" s="479"/>
      <c r="B771" s="479"/>
      <c r="C771" s="479"/>
      <c r="D771" s="1394"/>
      <c r="E771" s="1394"/>
      <c r="F771" s="1394"/>
      <c r="H771" s="497"/>
      <c r="I771" s="479"/>
      <c r="J771" s="497"/>
      <c r="K771" s="497"/>
    </row>
    <row r="772" spans="1:11">
      <c r="A772" s="479"/>
      <c r="B772" s="479"/>
      <c r="C772" s="479"/>
      <c r="D772" s="1394"/>
      <c r="E772" s="1394"/>
      <c r="F772" s="1394"/>
      <c r="H772" s="497"/>
      <c r="I772" s="479"/>
      <c r="J772" s="497"/>
      <c r="K772" s="497"/>
    </row>
    <row r="773" spans="1:11">
      <c r="A773" s="479"/>
      <c r="B773" s="479"/>
      <c r="C773" s="479"/>
      <c r="D773" s="488"/>
      <c r="H773" s="497"/>
      <c r="I773" s="479"/>
      <c r="J773" s="497"/>
      <c r="K773" s="497"/>
    </row>
    <row r="774" spans="1:11" ht="14.4">
      <c r="A774" s="480"/>
      <c r="B774" s="481" t="s">
        <v>2825</v>
      </c>
      <c r="C774" s="479"/>
      <c r="D774" s="1394" t="s">
        <v>2092</v>
      </c>
      <c r="E774" s="1394"/>
      <c r="F774" s="1394"/>
      <c r="H774" s="497"/>
      <c r="I774" s="479"/>
      <c r="J774" s="497"/>
      <c r="K774" s="497"/>
    </row>
    <row r="775" spans="1:11">
      <c r="A775" s="479"/>
      <c r="B775" s="479"/>
      <c r="C775" s="479"/>
      <c r="D775" s="1394"/>
      <c r="E775" s="1394"/>
      <c r="F775" s="1394"/>
      <c r="H775" s="497"/>
      <c r="I775" s="479"/>
      <c r="J775" s="497"/>
      <c r="K775" s="497"/>
    </row>
    <row r="776" spans="1:11">
      <c r="A776" s="479"/>
      <c r="B776" s="479"/>
      <c r="C776" s="479"/>
      <c r="D776" s="1394"/>
      <c r="E776" s="1394"/>
      <c r="F776" s="1394"/>
      <c r="H776" s="497"/>
      <c r="I776" s="479"/>
      <c r="J776" s="497"/>
      <c r="K776" s="497"/>
    </row>
    <row r="777" spans="1:11">
      <c r="A777" s="479"/>
      <c r="B777" s="479"/>
      <c r="C777" s="479"/>
      <c r="D777" s="1394"/>
      <c r="E777" s="1394"/>
      <c r="F777" s="1394"/>
      <c r="H777" s="497"/>
      <c r="I777" s="479"/>
      <c r="J777" s="497"/>
      <c r="K777" s="497"/>
    </row>
    <row r="778" spans="1:11">
      <c r="A778" s="479"/>
      <c r="B778" s="479"/>
      <c r="C778" s="479"/>
      <c r="D778" s="1394"/>
      <c r="E778" s="1394"/>
      <c r="F778" s="1394"/>
      <c r="H778" s="497"/>
      <c r="I778" s="479"/>
      <c r="J778" s="497"/>
      <c r="K778" s="497"/>
    </row>
    <row r="779" spans="1:11">
      <c r="A779" s="479"/>
      <c r="B779" s="479"/>
      <c r="C779" s="479"/>
      <c r="D779" s="1394"/>
      <c r="E779" s="1394"/>
      <c r="F779" s="1394"/>
      <c r="H779" s="497"/>
      <c r="I779" s="479"/>
      <c r="J779" s="497"/>
      <c r="K779" s="497"/>
    </row>
    <row r="780" spans="1:11">
      <c r="A780" s="479"/>
      <c r="B780" s="479"/>
      <c r="C780" s="479"/>
      <c r="D780" s="1394"/>
      <c r="E780" s="1394"/>
      <c r="F780" s="1394"/>
      <c r="H780" s="497"/>
      <c r="I780" s="479"/>
      <c r="J780" s="497"/>
      <c r="K780" s="497"/>
    </row>
    <row r="781" spans="1:11">
      <c r="A781" s="479"/>
      <c r="B781" s="479"/>
      <c r="C781" s="479"/>
      <c r="D781" s="1398" t="s">
        <v>2601</v>
      </c>
      <c r="E781" s="1398"/>
      <c r="F781" s="1398"/>
      <c r="H781" s="497"/>
      <c r="I781" s="479"/>
      <c r="J781" s="497"/>
      <c r="K781" s="497"/>
    </row>
    <row r="782" spans="1:11">
      <c r="A782" s="479"/>
      <c r="B782" s="479"/>
      <c r="C782" s="479"/>
      <c r="D782" s="338"/>
      <c r="H782" s="497"/>
      <c r="I782" s="479"/>
      <c r="J782" s="497"/>
      <c r="K782" s="497"/>
    </row>
    <row r="783" spans="1:11">
      <c r="A783" s="1397" t="s">
        <v>1058</v>
      </c>
      <c r="B783" s="1397"/>
      <c r="C783" s="1397"/>
      <c r="D783" s="1397"/>
      <c r="E783" s="1397"/>
      <c r="F783" s="1397"/>
      <c r="G783" s="1397"/>
      <c r="H783" s="1020"/>
      <c r="I783" s="1146"/>
      <c r="J783" s="497"/>
      <c r="K783" s="497"/>
    </row>
    <row r="784" spans="1:11">
      <c r="A784" s="479"/>
      <c r="B784" s="479"/>
      <c r="C784" s="479"/>
      <c r="D784" s="488"/>
      <c r="G784" s="497"/>
      <c r="H784" s="497"/>
      <c r="I784" s="479"/>
      <c r="J784" s="497"/>
      <c r="K784" s="497"/>
    </row>
    <row r="785" spans="1:11" ht="13.65" customHeight="1">
      <c r="C785" s="479"/>
      <c r="D785" s="1412" t="s">
        <v>1068</v>
      </c>
      <c r="E785" s="1412"/>
      <c r="F785" s="1412"/>
      <c r="G785" s="497"/>
      <c r="H785" s="497"/>
      <c r="I785" s="479"/>
      <c r="J785" s="497"/>
      <c r="K785" s="497"/>
    </row>
    <row r="786" spans="1:11">
      <c r="A786" s="479"/>
      <c r="B786" s="479"/>
      <c r="C786" s="479"/>
      <c r="D786" s="1399" t="s">
        <v>1069</v>
      </c>
      <c r="E786" s="1399"/>
      <c r="F786" s="1399"/>
      <c r="G786" s="497"/>
      <c r="H786" s="497"/>
      <c r="I786" s="479"/>
      <c r="J786" s="497"/>
      <c r="K786" s="497"/>
    </row>
    <row r="787" spans="1:11">
      <c r="A787" s="479"/>
      <c r="B787" s="479"/>
      <c r="C787" s="479"/>
      <c r="G787" s="497"/>
      <c r="H787" s="497"/>
      <c r="I787" s="479"/>
      <c r="J787" s="497"/>
      <c r="K787" s="497"/>
    </row>
    <row r="788" spans="1:11" ht="14.4">
      <c r="A788" s="480"/>
      <c r="B788" s="481" t="s">
        <v>2824</v>
      </c>
      <c r="D788" s="1394" t="s">
        <v>1070</v>
      </c>
      <c r="E788" s="1394"/>
      <c r="F788" s="1394"/>
      <c r="G788" s="497"/>
      <c r="H788" s="497"/>
      <c r="I788" s="479"/>
      <c r="J788" s="497"/>
      <c r="K788" s="497"/>
    </row>
    <row r="789" spans="1:11" ht="10.5" customHeight="1">
      <c r="D789" s="1394"/>
      <c r="E789" s="1394"/>
      <c r="F789" s="1394"/>
      <c r="G789" s="497"/>
      <c r="H789" s="497"/>
      <c r="I789" s="479"/>
      <c r="J789" s="497"/>
      <c r="K789" s="497"/>
    </row>
    <row r="790" spans="1:11">
      <c r="D790" s="1394"/>
      <c r="E790" s="1394"/>
      <c r="F790" s="1394"/>
      <c r="G790" s="497"/>
      <c r="H790" s="497"/>
      <c r="I790" s="479"/>
      <c r="J790" s="497"/>
      <c r="K790" s="497"/>
    </row>
    <row r="791" spans="1:11">
      <c r="D791" s="1394"/>
      <c r="E791" s="1394"/>
      <c r="F791" s="1394"/>
      <c r="G791" s="497"/>
      <c r="H791" s="497"/>
      <c r="I791" s="479"/>
      <c r="J791" s="497"/>
      <c r="K791" s="497"/>
    </row>
    <row r="792" spans="1:11">
      <c r="D792" s="1394"/>
      <c r="E792" s="1394"/>
      <c r="F792" s="1394"/>
      <c r="G792" s="497"/>
      <c r="H792" s="497"/>
      <c r="I792" s="479"/>
      <c r="J792" s="497"/>
      <c r="K792" s="497"/>
    </row>
    <row r="793" spans="1:11" ht="15.6" customHeight="1">
      <c r="D793" s="1394"/>
      <c r="E793" s="1394"/>
      <c r="F793" s="1394"/>
      <c r="G793" s="497"/>
      <c r="H793" s="497"/>
      <c r="I793" s="479"/>
      <c r="J793" s="497"/>
      <c r="K793" s="497"/>
    </row>
    <row r="794" spans="1:11">
      <c r="D794" s="495"/>
      <c r="E794" s="442"/>
      <c r="F794" s="442"/>
      <c r="G794" s="497"/>
      <c r="H794" s="497"/>
      <c r="I794" s="479"/>
      <c r="J794" s="497"/>
      <c r="K794" s="497"/>
    </row>
    <row r="795" spans="1:11" s="501" customFormat="1" ht="14.4">
      <c r="A795" s="499"/>
      <c r="B795" s="481" t="s">
        <v>2825</v>
      </c>
      <c r="C795" s="500"/>
      <c r="D795" s="1394" t="s">
        <v>1238</v>
      </c>
      <c r="E795" s="1394"/>
      <c r="F795" s="1394"/>
      <c r="I795" s="1147"/>
    </row>
    <row r="796" spans="1:11" s="501" customFormat="1">
      <c r="A796" s="500"/>
      <c r="B796" s="500"/>
      <c r="C796" s="500"/>
      <c r="D796" s="1394"/>
      <c r="E796" s="1394"/>
      <c r="F796" s="1394"/>
      <c r="I796" s="1147"/>
    </row>
    <row r="797" spans="1:11" s="501" customFormat="1">
      <c r="A797" s="500"/>
      <c r="B797" s="500"/>
      <c r="C797" s="500"/>
      <c r="D797" s="1394"/>
      <c r="E797" s="1394"/>
      <c r="F797" s="1394"/>
      <c r="I797" s="1147"/>
    </row>
    <row r="798" spans="1:11" s="501" customFormat="1">
      <c r="A798" s="500"/>
      <c r="B798" s="500"/>
      <c r="C798" s="500"/>
      <c r="D798" s="1394"/>
      <c r="E798" s="1394"/>
      <c r="F798" s="1394"/>
      <c r="I798" s="1147"/>
    </row>
    <row r="799" spans="1:11" s="501" customFormat="1">
      <c r="A799" s="500"/>
      <c r="B799" s="500"/>
      <c r="C799" s="500"/>
      <c r="D799" s="495"/>
      <c r="I799" s="1147"/>
    </row>
    <row r="800" spans="1:11" s="501" customFormat="1" ht="14.4">
      <c r="A800" s="480"/>
      <c r="B800" s="481" t="s">
        <v>2824</v>
      </c>
      <c r="C800" s="500"/>
      <c r="D800" s="1382" t="s">
        <v>1239</v>
      </c>
      <c r="E800" s="1382"/>
      <c r="F800" s="1382"/>
      <c r="I800" s="1147"/>
    </row>
    <row r="801" spans="1:11" s="501" customFormat="1">
      <c r="A801" s="500"/>
      <c r="B801" s="500"/>
      <c r="C801" s="500"/>
      <c r="D801" s="1382"/>
      <c r="E801" s="1382"/>
      <c r="F801" s="1382"/>
      <c r="I801" s="1147"/>
    </row>
    <row r="802" spans="1:11" s="501" customFormat="1">
      <c r="A802" s="500"/>
      <c r="B802" s="500"/>
      <c r="C802" s="500"/>
      <c r="D802" s="1382"/>
      <c r="E802" s="1382"/>
      <c r="F802" s="1382"/>
      <c r="I802" s="1147"/>
    </row>
    <row r="803" spans="1:11">
      <c r="D803" s="495"/>
      <c r="E803" s="442"/>
      <c r="F803" s="442"/>
      <c r="G803" s="497"/>
      <c r="H803" s="497"/>
      <c r="I803" s="479"/>
      <c r="J803" s="497"/>
      <c r="K803" s="497"/>
    </row>
    <row r="804" spans="1:11" ht="14.4">
      <c r="A804" s="480"/>
      <c r="B804" s="481" t="s">
        <v>2825</v>
      </c>
      <c r="D804" s="1394" t="s">
        <v>1195</v>
      </c>
      <c r="E804" s="1394"/>
      <c r="F804" s="1394"/>
      <c r="G804" s="497"/>
      <c r="H804" s="497"/>
      <c r="I804" s="479"/>
      <c r="J804" s="497"/>
      <c r="K804" s="497"/>
    </row>
    <row r="805" spans="1:11">
      <c r="D805" s="1394"/>
      <c r="E805" s="1394"/>
      <c r="F805" s="1394"/>
      <c r="G805" s="497"/>
      <c r="H805" s="497"/>
      <c r="I805" s="479"/>
      <c r="J805" s="497"/>
      <c r="K805" s="497"/>
    </row>
    <row r="806" spans="1:11">
      <c r="D806" s="441"/>
      <c r="E806" s="441"/>
      <c r="F806" s="441"/>
      <c r="G806" s="497"/>
      <c r="H806" s="497"/>
      <c r="I806" s="479"/>
      <c r="J806" s="497"/>
      <c r="K806" s="497"/>
    </row>
    <row r="807" spans="1:11">
      <c r="B807" s="481" t="s">
        <v>307</v>
      </c>
      <c r="D807" s="1394" t="s">
        <v>1212</v>
      </c>
      <c r="E807" s="1394"/>
      <c r="F807" s="1394"/>
      <c r="G807" s="497"/>
      <c r="H807" s="497"/>
      <c r="I807" s="479"/>
      <c r="J807" s="497"/>
      <c r="K807" s="497"/>
    </row>
    <row r="808" spans="1:11">
      <c r="D808" s="1394"/>
      <c r="E808" s="1394"/>
      <c r="F808" s="1394"/>
      <c r="G808" s="497"/>
      <c r="H808" s="497"/>
      <c r="I808" s="479"/>
      <c r="J808" s="497"/>
      <c r="K808" s="497"/>
    </row>
    <row r="809" spans="1:11">
      <c r="D809" s="1394"/>
      <c r="E809" s="1394"/>
      <c r="F809" s="1394"/>
      <c r="G809" s="497"/>
      <c r="H809" s="497"/>
      <c r="I809" s="479"/>
      <c r="J809" s="497"/>
      <c r="K809" s="497"/>
    </row>
    <row r="810" spans="1:11">
      <c r="D810" s="441"/>
      <c r="E810" s="441"/>
      <c r="F810" s="441"/>
      <c r="G810" s="497"/>
      <c r="H810" s="497"/>
      <c r="I810" s="479"/>
      <c r="J810" s="497"/>
      <c r="K810" s="497"/>
    </row>
    <row r="811" spans="1:11" hidden="1">
      <c r="A811" s="1411" t="s">
        <v>1786</v>
      </c>
      <c r="B811" s="1411"/>
      <c r="C811" s="1411"/>
      <c r="D811" s="1411"/>
      <c r="E811" s="1411"/>
      <c r="F811" s="1411"/>
      <c r="G811" s="1411"/>
      <c r="H811" s="1018"/>
      <c r="I811" s="1142"/>
    </row>
    <row r="812" spans="1:11" hidden="1">
      <c r="A812" s="57"/>
      <c r="B812" s="57"/>
      <c r="C812" s="350"/>
      <c r="D812" s="3"/>
      <c r="E812" s="3"/>
      <c r="F812" s="3"/>
      <c r="G812" s="3"/>
      <c r="I812" s="486"/>
    </row>
    <row r="813" spans="1:11" hidden="1">
      <c r="A813" s="57"/>
      <c r="B813" s="57"/>
      <c r="C813" s="350"/>
      <c r="D813" s="1410" t="s">
        <v>1822</v>
      </c>
      <c r="E813" s="1410"/>
      <c r="F813" s="1410"/>
      <c r="G813" s="3"/>
      <c r="I813" s="486"/>
    </row>
    <row r="814" spans="1:11" hidden="1">
      <c r="A814" s="57"/>
      <c r="B814" s="57"/>
      <c r="C814" s="350"/>
      <c r="D814" s="1403" t="s">
        <v>1740</v>
      </c>
      <c r="E814" s="1403"/>
      <c r="F814" s="1403"/>
      <c r="G814" s="3"/>
      <c r="I814" s="486"/>
    </row>
    <row r="815" spans="1:11" hidden="1">
      <c r="A815" s="57"/>
      <c r="B815" s="57"/>
      <c r="C815" s="350"/>
      <c r="D815" s="443"/>
      <c r="E815" s="443"/>
      <c r="F815" s="443"/>
      <c r="G815" s="3"/>
      <c r="I815" s="486"/>
    </row>
    <row r="816" spans="1:11" hidden="1">
      <c r="A816" s="57"/>
      <c r="B816" s="481" t="s">
        <v>307</v>
      </c>
      <c r="C816" s="350"/>
      <c r="D816" s="1388" t="s">
        <v>1741</v>
      </c>
      <c r="E816" s="1388"/>
      <c r="F816" s="1388"/>
      <c r="G816" s="3"/>
      <c r="I816" s="479"/>
    </row>
    <row r="817" spans="1:9" hidden="1">
      <c r="A817" s="57"/>
      <c r="B817" s="57"/>
      <c r="C817" s="350"/>
      <c r="D817" s="1388"/>
      <c r="E817" s="1388"/>
      <c r="F817" s="1388"/>
      <c r="G817" s="3"/>
      <c r="I817" s="486"/>
    </row>
    <row r="818" spans="1:9" hidden="1">
      <c r="A818" s="174"/>
      <c r="B818" s="174"/>
      <c r="C818" s="174"/>
      <c r="D818" s="1388"/>
      <c r="E818" s="1388"/>
      <c r="F818" s="1388"/>
      <c r="G818" s="118"/>
      <c r="I818" s="486"/>
    </row>
    <row r="819" spans="1:9" hidden="1">
      <c r="A819" s="350"/>
      <c r="B819" s="350"/>
      <c r="C819" s="350"/>
      <c r="D819" s="173"/>
      <c r="E819" s="3"/>
      <c r="F819" s="3"/>
      <c r="G819" s="3"/>
      <c r="I819" s="486"/>
    </row>
    <row r="820" spans="1:9" hidden="1">
      <c r="A820" s="172"/>
      <c r="B820" s="481" t="s">
        <v>307</v>
      </c>
      <c r="C820" s="172"/>
      <c r="D820" s="1388" t="s">
        <v>1742</v>
      </c>
      <c r="E820" s="1388"/>
      <c r="F820" s="1388"/>
      <c r="G820" s="3"/>
      <c r="I820" s="479"/>
    </row>
    <row r="821" spans="1:9" hidden="1">
      <c r="A821" s="172"/>
      <c r="B821" s="172"/>
      <c r="C821" s="172"/>
      <c r="D821" s="1388"/>
      <c r="E821" s="1388"/>
      <c r="F821" s="1388"/>
      <c r="G821" s="3"/>
      <c r="I821" s="486"/>
    </row>
    <row r="822" spans="1:9" hidden="1">
      <c r="A822" s="172"/>
      <c r="B822" s="172"/>
      <c r="C822" s="172"/>
      <c r="D822" s="1388"/>
      <c r="E822" s="1388"/>
      <c r="F822" s="1388"/>
      <c r="G822" s="3"/>
      <c r="I822" s="486"/>
    </row>
    <row r="823" spans="1:9" hidden="1">
      <c r="A823" s="174"/>
      <c r="B823" s="174"/>
      <c r="C823" s="174"/>
      <c r="D823" s="3"/>
      <c r="E823" s="978"/>
      <c r="F823" s="978"/>
      <c r="G823" s="978"/>
      <c r="I823" s="486"/>
    </row>
    <row r="824" spans="1:9" ht="14.4" hidden="1">
      <c r="A824" s="175"/>
      <c r="B824" s="481" t="s">
        <v>307</v>
      </c>
      <c r="C824" s="979"/>
      <c r="D824" s="1388" t="s">
        <v>1743</v>
      </c>
      <c r="E824" s="1388"/>
      <c r="F824" s="1388"/>
      <c r="G824" s="978"/>
      <c r="I824" s="479"/>
    </row>
    <row r="825" spans="1:9" ht="14.4" hidden="1">
      <c r="A825" s="175"/>
      <c r="B825" s="175"/>
      <c r="C825" s="979"/>
      <c r="D825" s="1388"/>
      <c r="E825" s="1388"/>
      <c r="F825" s="1388"/>
      <c r="G825" s="978"/>
      <c r="I825" s="486"/>
    </row>
    <row r="826" spans="1:9" ht="14.4" hidden="1">
      <c r="A826" s="175"/>
      <c r="B826" s="175"/>
      <c r="C826" s="979"/>
      <c r="D826" s="1388"/>
      <c r="E826" s="1388"/>
      <c r="F826" s="1388"/>
      <c r="G826" s="978"/>
      <c r="I826" s="486"/>
    </row>
    <row r="827" spans="1:9" ht="14.4" hidden="1">
      <c r="A827" s="175"/>
      <c r="B827" s="175"/>
      <c r="C827" s="979"/>
      <c r="D827" s="118"/>
      <c r="E827" s="3"/>
      <c r="F827" s="3"/>
      <c r="G827" s="978"/>
      <c r="I827" s="486"/>
    </row>
    <row r="828" spans="1:9" ht="14.4" hidden="1">
      <c r="A828" s="175"/>
      <c r="B828" s="481" t="s">
        <v>307</v>
      </c>
      <c r="C828" s="979"/>
      <c r="D828" s="1388" t="s">
        <v>1744</v>
      </c>
      <c r="E828" s="1388"/>
      <c r="F828" s="1388"/>
      <c r="G828" s="978"/>
      <c r="I828" s="479"/>
    </row>
    <row r="829" spans="1:9" ht="14.4" hidden="1">
      <c r="A829" s="175"/>
      <c r="B829" s="175"/>
      <c r="C829" s="979"/>
      <c r="D829" s="1388"/>
      <c r="E829" s="1388"/>
      <c r="F829" s="1388"/>
      <c r="G829" s="978"/>
      <c r="I829" s="486"/>
    </row>
    <row r="830" spans="1:9" ht="14.4" hidden="1">
      <c r="A830" s="175"/>
      <c r="B830" s="175"/>
      <c r="C830" s="979"/>
      <c r="D830" s="1388"/>
      <c r="E830" s="1388"/>
      <c r="F830" s="1388"/>
      <c r="G830" s="978"/>
      <c r="I830" s="486"/>
    </row>
    <row r="831" spans="1:9" ht="14.4" hidden="1">
      <c r="A831" s="175"/>
      <c r="B831" s="175"/>
      <c r="C831" s="979"/>
      <c r="D831" s="1388"/>
      <c r="E831" s="1388"/>
      <c r="F831" s="1388"/>
      <c r="G831" s="978"/>
      <c r="I831" s="486"/>
    </row>
    <row r="832" spans="1:9" ht="14.4" hidden="1">
      <c r="A832" s="175"/>
      <c r="B832" s="175"/>
      <c r="C832" s="979"/>
      <c r="D832" s="1388"/>
      <c r="E832" s="1388"/>
      <c r="F832" s="1388"/>
      <c r="G832" s="978"/>
      <c r="I832" s="486"/>
    </row>
    <row r="833" spans="1:9" ht="14.4" hidden="1">
      <c r="A833" s="175"/>
      <c r="B833" s="175"/>
      <c r="C833" s="979"/>
      <c r="D833" s="1388"/>
      <c r="E833" s="1388"/>
      <c r="F833" s="1388"/>
      <c r="G833" s="978"/>
      <c r="I833" s="486"/>
    </row>
    <row r="834" spans="1:9" ht="14.4" hidden="1">
      <c r="A834" s="175"/>
      <c r="B834" s="175"/>
      <c r="C834" s="979"/>
      <c r="D834" s="1388" t="s">
        <v>1787</v>
      </c>
      <c r="E834" s="1388"/>
      <c r="F834" s="1388"/>
      <c r="G834" s="978"/>
      <c r="I834" s="486"/>
    </row>
    <row r="835" spans="1:9" ht="14.4" hidden="1">
      <c r="A835" s="175"/>
      <c r="B835" s="175"/>
      <c r="C835" s="979"/>
      <c r="D835" s="1388"/>
      <c r="E835" s="1388"/>
      <c r="F835" s="1388"/>
      <c r="G835" s="978"/>
      <c r="I835" s="486"/>
    </row>
    <row r="836" spans="1:9" ht="14.4" hidden="1">
      <c r="A836" s="175"/>
      <c r="B836" s="175"/>
      <c r="C836" s="979"/>
      <c r="D836" s="1388"/>
      <c r="E836" s="1388"/>
      <c r="F836" s="1388"/>
      <c r="G836" s="978"/>
      <c r="I836" s="486"/>
    </row>
    <row r="837" spans="1:9" ht="14.4" hidden="1">
      <c r="A837" s="175"/>
      <c r="B837" s="350"/>
      <c r="C837" s="979"/>
      <c r="D837" s="980"/>
      <c r="E837" s="980"/>
      <c r="F837" s="980"/>
      <c r="G837" s="978"/>
      <c r="I837" s="486"/>
    </row>
    <row r="838" spans="1:9" ht="14.4" hidden="1">
      <c r="A838" s="175"/>
      <c r="B838" s="481" t="s">
        <v>307</v>
      </c>
      <c r="C838" s="979"/>
      <c r="D838" s="1388" t="s">
        <v>1745</v>
      </c>
      <c r="E838" s="1388"/>
      <c r="F838" s="1388"/>
      <c r="G838" s="978"/>
      <c r="I838" s="479"/>
    </row>
    <row r="839" spans="1:9" ht="14.4" hidden="1">
      <c r="A839" s="175"/>
      <c r="B839" s="175"/>
      <c r="C839" s="979"/>
      <c r="D839" s="1388"/>
      <c r="E839" s="1388"/>
      <c r="F839" s="1388"/>
      <c r="G839" s="978"/>
      <c r="I839" s="486"/>
    </row>
    <row r="840" spans="1:9" ht="14.4" hidden="1">
      <c r="A840" s="175"/>
      <c r="B840" s="175"/>
      <c r="C840" s="979"/>
      <c r="D840" s="1388"/>
      <c r="E840" s="1388"/>
      <c r="F840" s="1388"/>
      <c r="G840" s="978"/>
      <c r="I840" s="486"/>
    </row>
    <row r="841" spans="1:9" ht="14.4" hidden="1">
      <c r="A841" s="175"/>
      <c r="B841" s="175"/>
      <c r="C841" s="979"/>
      <c r="D841" s="1388"/>
      <c r="E841" s="1388"/>
      <c r="F841" s="1388"/>
      <c r="G841" s="978"/>
      <c r="I841" s="486"/>
    </row>
    <row r="842" spans="1:9" ht="14.4" hidden="1">
      <c r="A842" s="175"/>
      <c r="B842" s="175"/>
      <c r="C842" s="979"/>
      <c r="D842" s="1388"/>
      <c r="E842" s="1388"/>
      <c r="F842" s="1388"/>
      <c r="G842" s="978"/>
      <c r="I842" s="486"/>
    </row>
    <row r="843" spans="1:9" ht="14.4" hidden="1">
      <c r="A843" s="175"/>
      <c r="B843" s="175"/>
      <c r="C843" s="979"/>
      <c r="D843" s="1388"/>
      <c r="E843" s="1388"/>
      <c r="F843" s="1388"/>
      <c r="G843" s="978"/>
      <c r="I843" s="486"/>
    </row>
    <row r="844" spans="1:9" ht="14.4" hidden="1">
      <c r="A844" s="175"/>
      <c r="B844" s="175"/>
      <c r="C844" s="979"/>
      <c r="D844" s="972"/>
      <c r="E844" s="972"/>
      <c r="F844" s="972"/>
      <c r="G844" s="978"/>
      <c r="I844" s="486"/>
    </row>
    <row r="845" spans="1:9" ht="14.4" hidden="1">
      <c r="A845" s="175"/>
      <c r="B845" s="481" t="s">
        <v>307</v>
      </c>
      <c r="C845" s="979"/>
      <c r="D845" s="1388" t="s">
        <v>1746</v>
      </c>
      <c r="E845" s="1388"/>
      <c r="F845" s="1388"/>
      <c r="G845" s="978"/>
      <c r="I845" s="479"/>
    </row>
    <row r="846" spans="1:9" ht="14.4" hidden="1">
      <c r="A846" s="175"/>
      <c r="B846" s="175"/>
      <c r="C846" s="979"/>
      <c r="D846" s="1388"/>
      <c r="E846" s="1388"/>
      <c r="F846" s="1388"/>
      <c r="G846" s="978"/>
      <c r="I846" s="486"/>
    </row>
    <row r="847" spans="1:9" ht="14.4" hidden="1">
      <c r="A847" s="175"/>
      <c r="B847" s="175"/>
      <c r="C847" s="979"/>
      <c r="D847" s="1388"/>
      <c r="E847" s="1388"/>
      <c r="F847" s="1388"/>
      <c r="G847" s="978"/>
      <c r="I847" s="486"/>
    </row>
    <row r="848" spans="1:9" ht="14.4" hidden="1">
      <c r="A848" s="175"/>
      <c r="B848" s="175"/>
      <c r="C848" s="979"/>
      <c r="D848" s="1388"/>
      <c r="E848" s="1388"/>
      <c r="F848" s="1388"/>
      <c r="G848" s="978"/>
      <c r="I848" s="486"/>
    </row>
    <row r="849" spans="1:9" ht="14.4" hidden="1">
      <c r="A849" s="175"/>
      <c r="B849" s="175"/>
      <c r="C849" s="979"/>
      <c r="D849" s="1388"/>
      <c r="E849" s="1388"/>
      <c r="F849" s="1388"/>
      <c r="G849" s="978"/>
      <c r="I849" s="486"/>
    </row>
    <row r="850" spans="1:9" ht="14.4" hidden="1">
      <c r="A850" s="175"/>
      <c r="B850" s="175"/>
      <c r="C850" s="979"/>
      <c r="D850" s="1388"/>
      <c r="E850" s="1388"/>
      <c r="F850" s="1388"/>
      <c r="G850" s="978"/>
      <c r="I850" s="486"/>
    </row>
    <row r="851" spans="1:9" ht="14.4" hidden="1">
      <c r="A851" s="175"/>
      <c r="B851" s="175"/>
      <c r="C851" s="979"/>
      <c r="D851" s="972"/>
      <c r="E851" s="972"/>
      <c r="F851" s="972"/>
      <c r="G851" s="978"/>
      <c r="I851" s="486"/>
    </row>
    <row r="852" spans="1:9" ht="14.4" hidden="1">
      <c r="A852" s="175"/>
      <c r="B852" s="481" t="s">
        <v>307</v>
      </c>
      <c r="C852" s="979"/>
      <c r="D852" s="1377" t="s">
        <v>1747</v>
      </c>
      <c r="E852" s="1377"/>
      <c r="F852" s="1377"/>
      <c r="G852" s="978"/>
      <c r="I852" s="479"/>
    </row>
    <row r="853" spans="1:9" ht="14.4" hidden="1">
      <c r="A853" s="175"/>
      <c r="B853" s="175"/>
      <c r="C853" s="979"/>
      <c r="D853" s="1377"/>
      <c r="E853" s="1377"/>
      <c r="F853" s="1377"/>
      <c r="G853" s="978"/>
      <c r="I853" s="486"/>
    </row>
    <row r="854" spans="1:9" hidden="1">
      <c r="A854" s="13"/>
      <c r="B854" s="13"/>
      <c r="C854" s="979"/>
      <c r="D854" s="1377"/>
      <c r="E854" s="1377"/>
      <c r="F854" s="1377"/>
      <c r="G854" s="978"/>
      <c r="I854" s="486"/>
    </row>
    <row r="855" spans="1:9" ht="14.4" hidden="1">
      <c r="A855" s="175"/>
      <c r="B855" s="13"/>
      <c r="C855" s="979"/>
      <c r="D855" s="1377"/>
      <c r="E855" s="1377"/>
      <c r="F855" s="1377"/>
      <c r="G855" s="978"/>
      <c r="I855" s="486"/>
    </row>
    <row r="856" spans="1:9" ht="12.75" hidden="1" customHeight="1">
      <c r="A856" s="175"/>
      <c r="B856" s="13"/>
      <c r="C856" s="979"/>
      <c r="D856" s="1377"/>
      <c r="E856" s="1377"/>
      <c r="F856" s="1377"/>
      <c r="G856" s="978"/>
      <c r="I856" s="486"/>
    </row>
    <row r="857" spans="1:9" ht="12.75" hidden="1" customHeight="1">
      <c r="A857" s="175"/>
      <c r="B857" s="13"/>
      <c r="C857" s="979"/>
      <c r="D857" s="1377"/>
      <c r="E857" s="1377"/>
      <c r="F857" s="1377"/>
      <c r="G857" s="978"/>
      <c r="I857" s="486"/>
    </row>
    <row r="858" spans="1:9" ht="12.75" hidden="1" customHeight="1">
      <c r="A858" s="13"/>
      <c r="B858" s="13"/>
      <c r="C858" s="979"/>
      <c r="D858" s="978"/>
      <c r="E858" s="3"/>
      <c r="F858" s="3"/>
      <c r="G858" s="978"/>
      <c r="I858" s="486"/>
    </row>
    <row r="859" spans="1:9" ht="12.75" customHeight="1">
      <c r="A859" s="1379" t="s">
        <v>1748</v>
      </c>
      <c r="B859" s="1379"/>
      <c r="C859" s="1379"/>
      <c r="D859" s="1379"/>
      <c r="E859" s="1379"/>
      <c r="F859" s="1379"/>
      <c r="G859" s="1379"/>
      <c r="H859" s="1018"/>
      <c r="I859" s="1142"/>
    </row>
    <row r="860" spans="1:9" ht="12.75" customHeight="1">
      <c r="A860" s="172"/>
      <c r="B860" s="172"/>
      <c r="C860" s="979"/>
      <c r="D860" s="978"/>
      <c r="E860" s="978"/>
      <c r="F860" s="978"/>
      <c r="G860" s="978"/>
      <c r="I860" s="486"/>
    </row>
    <row r="861" spans="1:9" ht="12.75" customHeight="1">
      <c r="A861" s="175"/>
      <c r="B861" s="175"/>
      <c r="C861" s="350"/>
      <c r="D861" s="1401" t="s">
        <v>1788</v>
      </c>
      <c r="E861" s="1401"/>
      <c r="F861" s="1401"/>
      <c r="G861" s="3"/>
      <c r="I861" s="486"/>
    </row>
    <row r="862" spans="1:9" ht="14.25" customHeight="1">
      <c r="A862" s="175"/>
      <c r="B862" s="175"/>
      <c r="C862" s="350"/>
      <c r="D862" s="1354" t="s">
        <v>1749</v>
      </c>
      <c r="E862" s="1354"/>
      <c r="F862" s="1354"/>
      <c r="G862" s="3"/>
      <c r="I862" s="486"/>
    </row>
    <row r="863" spans="1:9" ht="12.75" customHeight="1">
      <c r="A863" s="175"/>
      <c r="B863" s="175"/>
      <c r="C863" s="350"/>
      <c r="D863" s="437"/>
      <c r="E863" s="437"/>
      <c r="F863" s="437"/>
      <c r="G863" s="3"/>
      <c r="I863" s="486"/>
    </row>
    <row r="864" spans="1:9" ht="12.75" customHeight="1">
      <c r="A864" s="350"/>
      <c r="B864" s="481" t="s">
        <v>2824</v>
      </c>
      <c r="C864" s="979"/>
      <c r="D864" s="1354" t="s">
        <v>1750</v>
      </c>
      <c r="E864" s="1354"/>
      <c r="F864" s="1354"/>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402" t="s">
        <v>2024</v>
      </c>
      <c r="E867" s="1402"/>
      <c r="F867" s="1402"/>
      <c r="G867" s="3"/>
      <c r="I867" s="486"/>
    </row>
    <row r="868" spans="1:9" ht="12.75" hidden="1" customHeight="1">
      <c r="A868" s="13"/>
      <c r="B868" s="13"/>
      <c r="C868" s="979"/>
      <c r="D868" s="1402"/>
      <c r="E868" s="1402"/>
      <c r="F868" s="1402"/>
      <c r="G868" s="3"/>
      <c r="I868" s="486"/>
    </row>
    <row r="869" spans="1:9" ht="12.75" hidden="1" customHeight="1">
      <c r="A869" s="13"/>
      <c r="B869" s="13"/>
      <c r="C869" s="979"/>
      <c r="D869" s="1402"/>
      <c r="E869" s="1402"/>
      <c r="F869" s="1402"/>
      <c r="G869" s="3"/>
      <c r="I869" s="486"/>
    </row>
    <row r="870" spans="1:9" ht="12.75" hidden="1" customHeight="1">
      <c r="A870" s="13"/>
      <c r="B870" s="13"/>
      <c r="C870" s="979"/>
      <c r="D870" s="1402"/>
      <c r="E870" s="1402"/>
      <c r="F870" s="1402"/>
      <c r="G870" s="3"/>
      <c r="I870" s="486"/>
    </row>
    <row r="871" spans="1:9" ht="12.75" hidden="1" customHeight="1">
      <c r="A871" s="13"/>
      <c r="B871" s="13"/>
      <c r="C871" s="979"/>
      <c r="D871" s="1402"/>
      <c r="E871" s="1402"/>
      <c r="F871" s="1402"/>
      <c r="G871" s="3"/>
      <c r="I871" s="486"/>
    </row>
    <row r="872" spans="1:9" ht="12.75" hidden="1" customHeight="1">
      <c r="A872" s="13"/>
      <c r="B872" s="13"/>
      <c r="C872" s="979"/>
      <c r="D872" s="1402"/>
      <c r="E872" s="1402"/>
      <c r="F872" s="1402"/>
      <c r="G872" s="3"/>
      <c r="I872" s="486"/>
    </row>
    <row r="873" spans="1:9" ht="12.75" hidden="1" customHeight="1">
      <c r="A873" s="13"/>
      <c r="B873" s="13"/>
      <c r="C873" s="979"/>
      <c r="D873" s="1402"/>
      <c r="E873" s="1402"/>
      <c r="F873" s="1402"/>
      <c r="G873" s="3"/>
      <c r="I873" s="486"/>
    </row>
    <row r="874" spans="1:9" ht="12.75" hidden="1" customHeight="1">
      <c r="A874" s="13"/>
      <c r="B874" s="13"/>
      <c r="C874" s="979"/>
      <c r="D874" s="1402"/>
      <c r="E874" s="1402"/>
      <c r="F874" s="1402"/>
      <c r="G874" s="3"/>
      <c r="I874" s="486"/>
    </row>
    <row r="875" spans="1:9" ht="12.75" hidden="1" customHeight="1">
      <c r="A875" s="13"/>
      <c r="B875" s="13"/>
      <c r="C875" s="979"/>
      <c r="D875" s="1402"/>
      <c r="E875" s="1402"/>
      <c r="F875" s="1402"/>
      <c r="G875" s="3"/>
      <c r="I875" s="486"/>
    </row>
    <row r="876" spans="1:9" ht="12.75" hidden="1" customHeight="1">
      <c r="A876" s="13"/>
      <c r="B876" s="13"/>
      <c r="C876" s="979"/>
      <c r="D876" s="1402"/>
      <c r="E876" s="1402"/>
      <c r="F876" s="1402"/>
      <c r="G876" s="3"/>
      <c r="I876" s="486"/>
    </row>
    <row r="877" spans="1:9" ht="12.75" hidden="1" customHeight="1">
      <c r="A877" s="13"/>
      <c r="B877" s="13"/>
      <c r="C877" s="979"/>
      <c r="D877" s="981"/>
      <c r="E877" s="3"/>
      <c r="F877" s="3"/>
      <c r="G877" s="3"/>
      <c r="I877" s="486"/>
    </row>
    <row r="878" spans="1:9" ht="12.75" customHeight="1">
      <c r="A878" s="175"/>
      <c r="B878" s="481" t="s">
        <v>2824</v>
      </c>
      <c r="C878" s="979"/>
      <c r="D878" s="1354" t="s">
        <v>1751</v>
      </c>
      <c r="E878" s="1354"/>
      <c r="F878" s="1354"/>
      <c r="G878" s="3"/>
      <c r="I878" s="486" t="s">
        <v>1849</v>
      </c>
    </row>
    <row r="879" spans="1:9" ht="12.75" customHeight="1">
      <c r="A879" s="175"/>
      <c r="B879" s="175"/>
      <c r="C879" s="979"/>
      <c r="D879" s="1354"/>
      <c r="E879" s="1354"/>
      <c r="F879" s="1354"/>
      <c r="G879" s="3"/>
      <c r="I879" s="486"/>
    </row>
    <row r="880" spans="1:9" ht="12.75" customHeight="1">
      <c r="A880" s="175"/>
      <c r="B880" s="175"/>
      <c r="C880" s="979"/>
      <c r="D880" s="1354"/>
      <c r="E880" s="1354"/>
      <c r="F880" s="1354"/>
      <c r="G880" s="3"/>
      <c r="I880" s="486"/>
    </row>
    <row r="881" spans="1:9" ht="12.75" customHeight="1">
      <c r="A881" s="175"/>
      <c r="B881" s="175"/>
      <c r="C881" s="979"/>
      <c r="D881" s="118"/>
      <c r="E881" s="3"/>
      <c r="F881" s="3"/>
      <c r="G881" s="3"/>
      <c r="I881" s="486"/>
    </row>
    <row r="882" spans="1:9" ht="12.75" customHeight="1">
      <c r="A882" s="982"/>
      <c r="B882" s="481" t="s">
        <v>2824</v>
      </c>
      <c r="C882" s="979"/>
      <c r="D882" s="1401" t="s">
        <v>1752</v>
      </c>
      <c r="E882" s="1401"/>
      <c r="F882" s="1401"/>
      <c r="G882" s="3"/>
      <c r="I882" s="486"/>
    </row>
    <row r="883" spans="1:9" ht="12.75" customHeight="1">
      <c r="A883" s="350"/>
      <c r="B883" s="982"/>
      <c r="C883" s="979"/>
      <c r="D883" s="1401"/>
      <c r="E883" s="1401"/>
      <c r="F883" s="1401"/>
      <c r="G883" s="3"/>
      <c r="I883" s="486"/>
    </row>
    <row r="884" spans="1:9" ht="12.75" customHeight="1">
      <c r="A884" s="175"/>
      <c r="B884" s="350"/>
      <c r="C884" s="979"/>
      <c r="D884" s="1354" t="s">
        <v>2019</v>
      </c>
      <c r="E884" s="1354"/>
      <c r="F884" s="1354"/>
      <c r="G884" s="3"/>
      <c r="I884" s="486"/>
    </row>
    <row r="885" spans="1:9" ht="12.75" customHeight="1">
      <c r="A885" s="175"/>
      <c r="B885" s="175"/>
      <c r="C885" s="979"/>
      <c r="D885" s="1354"/>
      <c r="E885" s="1354"/>
      <c r="F885" s="1354"/>
      <c r="G885" s="3"/>
      <c r="I885" s="486"/>
    </row>
    <row r="886" spans="1:9" ht="12.75" customHeight="1">
      <c r="A886" s="175"/>
      <c r="B886" s="175"/>
      <c r="C886" s="979"/>
      <c r="D886" s="1354"/>
      <c r="E886" s="1354"/>
      <c r="F886" s="1354"/>
      <c r="G886" s="3"/>
      <c r="I886" s="486"/>
    </row>
    <row r="887" spans="1:9" ht="12.75" customHeight="1">
      <c r="A887" s="175"/>
      <c r="B887" s="175"/>
      <c r="C887" s="979"/>
      <c r="D887" s="1354"/>
      <c r="E887" s="1354"/>
      <c r="F887" s="1354"/>
      <c r="G887" s="3"/>
      <c r="I887" s="486"/>
    </row>
    <row r="888" spans="1:9" ht="12.75" customHeight="1">
      <c r="A888" s="175"/>
      <c r="B888" s="175"/>
      <c r="C888" s="979"/>
      <c r="D888" s="1354"/>
      <c r="E888" s="1354"/>
      <c r="F888" s="1354"/>
      <c r="G888" s="3"/>
      <c r="I888" s="486"/>
    </row>
    <row r="889" spans="1:9" ht="12.75" customHeight="1">
      <c r="A889" s="175"/>
      <c r="B889" s="175"/>
      <c r="C889" s="979"/>
      <c r="D889" s="1354"/>
      <c r="E889" s="1354"/>
      <c r="F889" s="1354"/>
      <c r="G889" s="3"/>
      <c r="I889" s="486"/>
    </row>
    <row r="890" spans="1:9" ht="12.75" customHeight="1">
      <c r="A890" s="175"/>
      <c r="B890" s="175"/>
      <c r="C890" s="979"/>
      <c r="D890" s="118"/>
      <c r="E890" s="3"/>
      <c r="F890" s="3"/>
      <c r="G890" s="3"/>
      <c r="I890" s="486"/>
    </row>
    <row r="891" spans="1:9" ht="12.75" customHeight="1">
      <c r="A891" s="175"/>
      <c r="B891" s="481" t="s">
        <v>2825</v>
      </c>
      <c r="C891" s="979"/>
      <c r="D891" s="1354" t="s">
        <v>1753</v>
      </c>
      <c r="E891" s="1354"/>
      <c r="F891" s="1354"/>
      <c r="G891" s="3"/>
      <c r="I891" s="486" t="s">
        <v>1847</v>
      </c>
    </row>
    <row r="892" spans="1:9" ht="12.75" customHeight="1">
      <c r="A892" s="175"/>
      <c r="B892" s="175"/>
      <c r="C892" s="979"/>
      <c r="D892" s="1354" t="s">
        <v>1754</v>
      </c>
      <c r="E892" s="1354"/>
      <c r="F892" s="1354"/>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2825</v>
      </c>
      <c r="C895" s="979"/>
      <c r="D895" s="1354" t="s">
        <v>1755</v>
      </c>
      <c r="E895" s="1354"/>
      <c r="F895" s="1354"/>
      <c r="G895" s="3"/>
      <c r="I895" s="486" t="s">
        <v>1850</v>
      </c>
    </row>
    <row r="896" spans="1:9" ht="12.75" customHeight="1">
      <c r="A896" s="175"/>
      <c r="B896" s="175"/>
      <c r="C896" s="979"/>
      <c r="D896" s="1354"/>
      <c r="E896" s="1354"/>
      <c r="F896" s="1354"/>
      <c r="G896" s="3"/>
      <c r="I896" s="486"/>
    </row>
    <row r="897" spans="1:9" ht="12.75" customHeight="1">
      <c r="A897" s="175"/>
      <c r="B897" s="175"/>
      <c r="C897" s="979"/>
      <c r="D897" s="1354"/>
      <c r="E897" s="1354"/>
      <c r="F897" s="1354"/>
      <c r="G897" s="3"/>
      <c r="I897" s="486"/>
    </row>
    <row r="898" spans="1:9" ht="12.75" customHeight="1">
      <c r="A898" s="175"/>
      <c r="B898" s="175"/>
      <c r="C898" s="979"/>
      <c r="D898" s="1354"/>
      <c r="E898" s="1354"/>
      <c r="F898" s="1354"/>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76" t="s">
        <v>1789</v>
      </c>
      <c r="E902" s="1376"/>
      <c r="F902" s="1376"/>
      <c r="G902" s="978"/>
      <c r="I902" s="486"/>
    </row>
    <row r="903" spans="1:9" ht="12.75" customHeight="1">
      <c r="A903" s="350"/>
      <c r="B903" s="350"/>
      <c r="C903" s="174"/>
      <c r="D903" s="1400" t="s">
        <v>1757</v>
      </c>
      <c r="E903" s="1400"/>
      <c r="F903" s="1400"/>
      <c r="G903" s="978"/>
      <c r="I903" s="486"/>
    </row>
    <row r="904" spans="1:9" ht="12.75" customHeight="1">
      <c r="A904" s="350"/>
      <c r="B904" s="350"/>
      <c r="C904" s="174"/>
      <c r="D904" s="985"/>
      <c r="E904" s="985"/>
      <c r="F904" s="985"/>
      <c r="G904" s="978"/>
      <c r="I904" s="486"/>
    </row>
    <row r="905" spans="1:9" ht="12.75" customHeight="1">
      <c r="A905" s="175"/>
      <c r="B905" s="481" t="s">
        <v>2824</v>
      </c>
      <c r="C905" s="350"/>
      <c r="D905" s="1373" t="s">
        <v>1758</v>
      </c>
      <c r="E905" s="1373"/>
      <c r="F905" s="1373"/>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2824</v>
      </c>
      <c r="C908" s="350"/>
      <c r="D908" s="1354" t="s">
        <v>1759</v>
      </c>
      <c r="E908" s="1407"/>
      <c r="F908" s="1407"/>
      <c r="G908" s="3"/>
      <c r="I908" s="486" t="s">
        <v>1850</v>
      </c>
    </row>
    <row r="909" spans="1:9" ht="12.75" customHeight="1">
      <c r="A909" s="350"/>
      <c r="B909" s="350"/>
      <c r="C909" s="350"/>
      <c r="D909" s="1407"/>
      <c r="E909" s="1407"/>
      <c r="F909" s="1407"/>
      <c r="G909" s="3"/>
      <c r="I909" s="486"/>
    </row>
    <row r="910" spans="1:9" ht="12.75" customHeight="1">
      <c r="A910" s="350"/>
      <c r="B910" s="350"/>
      <c r="C910" s="350"/>
      <c r="D910" s="118"/>
      <c r="E910" s="3"/>
      <c r="F910" s="3"/>
      <c r="G910" s="3"/>
      <c r="I910" s="486"/>
    </row>
    <row r="911" spans="1:9" ht="12.75" customHeight="1">
      <c r="A911" s="350"/>
      <c r="B911" s="481" t="s">
        <v>2825</v>
      </c>
      <c r="C911" s="350"/>
      <c r="D911" s="1408" t="s">
        <v>1760</v>
      </c>
      <c r="E911" s="1408"/>
      <c r="F911" s="1408"/>
      <c r="G911" s="978"/>
      <c r="I911" s="486"/>
    </row>
    <row r="912" spans="1:9" ht="12.75" customHeight="1">
      <c r="A912" s="350"/>
      <c r="B912" s="986"/>
      <c r="C912" s="350"/>
      <c r="D912" s="1408"/>
      <c r="E912" s="1408"/>
      <c r="F912" s="1408"/>
      <c r="G912" s="978"/>
      <c r="I912" s="486"/>
    </row>
    <row r="913" spans="1:9" ht="12.75" customHeight="1">
      <c r="A913" s="175"/>
      <c r="B913"/>
      <c r="C913" s="350"/>
      <c r="D913" s="1354" t="s">
        <v>2019</v>
      </c>
      <c r="E913" s="1354"/>
      <c r="F913" s="1354"/>
      <c r="G913" s="978"/>
      <c r="I913" s="486"/>
    </row>
    <row r="914" spans="1:9" ht="12.75" customHeight="1">
      <c r="A914" s="175"/>
      <c r="B914" s="175"/>
      <c r="C914" s="350"/>
      <c r="D914" s="1354"/>
      <c r="E914" s="1354"/>
      <c r="F914" s="1354"/>
      <c r="G914" s="978"/>
      <c r="I914" s="486"/>
    </row>
    <row r="915" spans="1:9" ht="12.75" customHeight="1">
      <c r="A915" s="175"/>
      <c r="B915" s="175"/>
      <c r="C915" s="350"/>
      <c r="D915" s="1354"/>
      <c r="E915" s="1354"/>
      <c r="F915" s="1354"/>
      <c r="G915" s="978"/>
      <c r="I915" s="486"/>
    </row>
    <row r="916" spans="1:9" ht="12.75" customHeight="1">
      <c r="A916" s="175"/>
      <c r="B916" s="175"/>
      <c r="C916" s="350"/>
      <c r="D916" s="1354"/>
      <c r="E916" s="1354"/>
      <c r="F916" s="1354"/>
      <c r="G916" s="978"/>
      <c r="I916" s="486"/>
    </row>
    <row r="917" spans="1:9" ht="12.75" customHeight="1">
      <c r="A917" s="175"/>
      <c r="B917" s="175"/>
      <c r="C917" s="350"/>
      <c r="D917" s="1354"/>
      <c r="E917" s="1354"/>
      <c r="F917" s="1354"/>
      <c r="G917" s="978"/>
      <c r="I917" s="486"/>
    </row>
    <row r="918" spans="1:9" ht="12.75" customHeight="1">
      <c r="A918" s="175"/>
      <c r="B918" s="175"/>
      <c r="C918" s="350"/>
      <c r="D918" s="1354"/>
      <c r="E918" s="1354"/>
      <c r="F918" s="1354"/>
      <c r="G918" s="978"/>
      <c r="I918" s="486"/>
    </row>
    <row r="919" spans="1:9" ht="12.75" customHeight="1">
      <c r="A919" s="175"/>
      <c r="B919" s="175"/>
      <c r="C919" s="350"/>
      <c r="D919" s="118"/>
      <c r="E919" s="978"/>
      <c r="F919" s="978"/>
      <c r="G919" s="978"/>
      <c r="I919" s="486"/>
    </row>
    <row r="920" spans="1:9" ht="12.75" customHeight="1">
      <c r="A920" s="175"/>
      <c r="B920" s="481" t="s">
        <v>2825</v>
      </c>
      <c r="C920" s="350"/>
      <c r="D920" s="1375" t="s">
        <v>1753</v>
      </c>
      <c r="E920" s="1375"/>
      <c r="F920" s="1375"/>
      <c r="G920" s="978"/>
      <c r="I920" s="486"/>
    </row>
    <row r="921" spans="1:9" ht="12.75" customHeight="1">
      <c r="A921" s="175"/>
      <c r="B921" s="175"/>
      <c r="C921" s="350"/>
      <c r="D921" s="1375" t="s">
        <v>1754</v>
      </c>
      <c r="E921" s="1375"/>
      <c r="F921" s="1375"/>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2825</v>
      </c>
      <c r="C924" s="350"/>
      <c r="D924" s="1354" t="s">
        <v>1755</v>
      </c>
      <c r="E924" s="1354"/>
      <c r="F924" s="1354"/>
      <c r="G924" s="978"/>
      <c r="I924" s="486"/>
    </row>
    <row r="925" spans="1:9" ht="12.75" customHeight="1">
      <c r="A925" s="175"/>
      <c r="B925" s="175"/>
      <c r="C925" s="350"/>
      <c r="D925" s="1354"/>
      <c r="E925" s="1354"/>
      <c r="F925" s="1354"/>
      <c r="G925" s="978"/>
      <c r="I925" s="486"/>
    </row>
    <row r="926" spans="1:9" ht="12.75" customHeight="1">
      <c r="A926" s="175"/>
      <c r="B926" s="175"/>
      <c r="C926" s="350"/>
      <c r="D926" s="1354"/>
      <c r="E926" s="1354"/>
      <c r="F926" s="1354"/>
      <c r="G926" s="978"/>
      <c r="I926" s="486"/>
    </row>
    <row r="927" spans="1:9" ht="12.75" customHeight="1">
      <c r="A927" s="175"/>
      <c r="B927" s="175"/>
      <c r="C927" s="350"/>
      <c r="D927" s="1354"/>
      <c r="E927" s="1354"/>
      <c r="F927" s="1354"/>
      <c r="G927" s="978"/>
      <c r="I927" s="486"/>
    </row>
    <row r="928" spans="1:9" ht="12.75" customHeight="1">
      <c r="A928" s="118"/>
      <c r="B928" s="118"/>
      <c r="C928" s="979"/>
      <c r="D928" s="978"/>
      <c r="E928" s="978"/>
      <c r="F928" s="978"/>
      <c r="G928" s="978"/>
      <c r="I928" s="486"/>
    </row>
    <row r="929" spans="1:9" ht="12.75" customHeight="1">
      <c r="A929" s="1379" t="s">
        <v>2644</v>
      </c>
      <c r="B929" s="1379"/>
      <c r="C929" s="1379"/>
      <c r="D929" s="1379"/>
      <c r="E929" s="1379"/>
      <c r="F929" s="1379"/>
      <c r="G929" s="1379"/>
      <c r="H929" s="1018"/>
      <c r="I929" s="1142"/>
    </row>
    <row r="930" spans="1:9" ht="12.75" customHeight="1">
      <c r="A930" s="57"/>
      <c r="B930" s="57"/>
      <c r="C930" s="57"/>
      <c r="D930" s="57"/>
      <c r="E930" s="57"/>
      <c r="F930" s="57"/>
      <c r="G930" s="57"/>
      <c r="I930" s="486"/>
    </row>
    <row r="931" spans="1:9" ht="12.75" customHeight="1">
      <c r="A931" s="57"/>
      <c r="B931" s="57"/>
      <c r="C931" s="57"/>
      <c r="D931" s="1380" t="s">
        <v>2643</v>
      </c>
      <c r="E931" s="1380"/>
      <c r="F931" s="1380"/>
      <c r="G931" s="57"/>
      <c r="I931" s="486"/>
    </row>
    <row r="932" spans="1:9" ht="12.75" customHeight="1">
      <c r="A932" s="57"/>
      <c r="B932" s="57"/>
      <c r="C932" s="57"/>
      <c r="D932" s="971"/>
      <c r="E932" s="971"/>
      <c r="F932" s="971"/>
      <c r="G932" s="57"/>
      <c r="I932" s="486"/>
    </row>
    <row r="933" spans="1:9" ht="12.75" customHeight="1">
      <c r="A933" s="57"/>
      <c r="B933" s="481" t="s">
        <v>2824</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80" t="s">
        <v>1790</v>
      </c>
      <c r="E935" s="1380"/>
      <c r="F935" s="1380"/>
      <c r="G935" s="978"/>
      <c r="I935" s="486"/>
    </row>
    <row r="936" spans="1:9" ht="12.75" customHeight="1">
      <c r="A936" s="172"/>
      <c r="B936" s="172"/>
      <c r="C936" s="172"/>
      <c r="D936" s="1373" t="s">
        <v>1761</v>
      </c>
      <c r="E936" s="1373"/>
      <c r="F936" s="1373"/>
      <c r="G936" s="978"/>
      <c r="I936" s="486"/>
    </row>
    <row r="937" spans="1:9" ht="12.75" customHeight="1">
      <c r="A937" s="979"/>
      <c r="B937" s="979"/>
      <c r="C937" s="979"/>
      <c r="D937" s="2"/>
      <c r="E937" s="978"/>
      <c r="F937" s="978"/>
      <c r="G937" s="978"/>
      <c r="I937" s="486"/>
    </row>
    <row r="938" spans="1:9" ht="12.75" customHeight="1">
      <c r="A938" s="175"/>
      <c r="B938" s="481" t="s">
        <v>2824</v>
      </c>
      <c r="C938" s="350"/>
      <c r="D938" s="1354" t="s">
        <v>1765</v>
      </c>
      <c r="E938" s="1354"/>
      <c r="F938" s="1354"/>
      <c r="G938" s="3"/>
      <c r="I938" s="486"/>
    </row>
    <row r="939" spans="1:9" ht="12.75" customHeight="1">
      <c r="A939" s="350"/>
      <c r="B939" s="350"/>
      <c r="C939" s="350"/>
      <c r="D939" s="1354"/>
      <c r="E939" s="1354"/>
      <c r="F939" s="1354"/>
      <c r="G939" s="3"/>
      <c r="I939" s="486"/>
    </row>
    <row r="940" spans="1:9" ht="12.75" customHeight="1">
      <c r="A940" s="172"/>
      <c r="B940" s="172"/>
      <c r="C940" s="172"/>
      <c r="D940" s="1354" t="s">
        <v>1764</v>
      </c>
      <c r="E940" s="1354"/>
      <c r="F940" s="1354"/>
      <c r="G940" s="978"/>
      <c r="I940" s="486"/>
    </row>
    <row r="941" spans="1:9" ht="12.75" customHeight="1">
      <c r="A941" s="172"/>
      <c r="B941" s="172"/>
      <c r="C941" s="172"/>
      <c r="D941" s="1354"/>
      <c r="E941" s="1354"/>
      <c r="F941" s="1354"/>
      <c r="G941" s="978"/>
      <c r="I941" s="486"/>
    </row>
    <row r="942" spans="1:9" ht="12.75" customHeight="1">
      <c r="A942" s="172"/>
      <c r="B942" s="172"/>
      <c r="C942" s="172"/>
      <c r="D942" s="3"/>
      <c r="E942" s="3"/>
      <c r="F942" s="978"/>
      <c r="G942" s="978"/>
      <c r="I942" s="486"/>
    </row>
    <row r="943" spans="1:9" ht="12.75" customHeight="1">
      <c r="A943" s="175"/>
      <c r="B943" s="481" t="s">
        <v>2824</v>
      </c>
      <c r="C943" s="174"/>
      <c r="D943" s="1365" t="s">
        <v>1762</v>
      </c>
      <c r="E943" s="1365"/>
      <c r="F943" s="1365"/>
      <c r="G943" s="978"/>
      <c r="I943" s="486"/>
    </row>
    <row r="944" spans="1:9" ht="12.75" customHeight="1">
      <c r="A944" s="175"/>
      <c r="B944" s="175"/>
      <c r="C944" s="174"/>
      <c r="D944" s="1365"/>
      <c r="E944" s="1365"/>
      <c r="F944" s="1365"/>
      <c r="G944" s="978"/>
      <c r="I944" s="486"/>
    </row>
    <row r="945" spans="1:9" ht="12.75" customHeight="1">
      <c r="A945" s="175"/>
      <c r="B945" s="175"/>
      <c r="C945" s="174"/>
      <c r="D945" s="1365"/>
      <c r="E945" s="1365"/>
      <c r="F945" s="1365"/>
      <c r="G945" s="978"/>
      <c r="I945" s="486"/>
    </row>
    <row r="946" spans="1:9" ht="12.75" customHeight="1">
      <c r="A946" s="175"/>
      <c r="B946" s="175"/>
      <c r="C946" s="174"/>
      <c r="D946" s="1365"/>
      <c r="E946" s="1365"/>
      <c r="F946" s="1365"/>
      <c r="G946" s="978"/>
      <c r="I946" s="486"/>
    </row>
    <row r="947" spans="1:9" ht="12.75" customHeight="1">
      <c r="A947" s="175"/>
      <c r="B947" s="175"/>
      <c r="C947" s="174"/>
      <c r="D947" s="1365"/>
      <c r="E947" s="1365"/>
      <c r="F947" s="1365"/>
      <c r="G947" s="978"/>
      <c r="I947" s="486"/>
    </row>
    <row r="948" spans="1:9" ht="12.75" customHeight="1">
      <c r="A948" s="174"/>
      <c r="B948" s="174"/>
      <c r="C948" s="174"/>
      <c r="D948" s="1365"/>
      <c r="E948" s="1365"/>
      <c r="F948" s="1365"/>
      <c r="G948" s="978"/>
      <c r="I948" s="486"/>
    </row>
    <row r="949" spans="1:9" ht="12.75" customHeight="1">
      <c r="A949" s="174"/>
      <c r="B949" s="174"/>
      <c r="C949" s="174"/>
      <c r="D949" s="1365"/>
      <c r="E949" s="1365"/>
      <c r="F949" s="1365"/>
      <c r="G949" s="978"/>
      <c r="I949" s="486"/>
    </row>
    <row r="950" spans="1:9" ht="12.75" customHeight="1">
      <c r="A950" s="174"/>
      <c r="B950" s="174"/>
      <c r="C950" s="174"/>
      <c r="D950" s="1365"/>
      <c r="E950" s="1365"/>
      <c r="F950" s="1365"/>
      <c r="G950" s="978"/>
      <c r="I950" s="486"/>
    </row>
    <row r="951" spans="1:9" ht="12.75" customHeight="1">
      <c r="A951" s="174"/>
      <c r="B951" s="174"/>
      <c r="C951" s="174"/>
      <c r="D951" s="332"/>
      <c r="E951" s="332"/>
      <c r="F951" s="332"/>
      <c r="G951" s="978"/>
      <c r="I951" s="486"/>
    </row>
    <row r="952" spans="1:9" ht="12.75" customHeight="1">
      <c r="A952" s="979"/>
      <c r="B952" s="481" t="s">
        <v>2825</v>
      </c>
      <c r="C952" s="979"/>
      <c r="D952" s="1354" t="s">
        <v>1766</v>
      </c>
      <c r="E952" s="1354"/>
      <c r="F952" s="1354"/>
      <c r="G952" s="978"/>
      <c r="I952" s="486"/>
    </row>
    <row r="953" spans="1:9" ht="12.75" customHeight="1">
      <c r="A953" s="979"/>
      <c r="B953" s="979"/>
      <c r="C953" s="979"/>
      <c r="D953" s="1354"/>
      <c r="E953" s="1354"/>
      <c r="F953" s="1354"/>
      <c r="G953" s="978"/>
      <c r="I953" s="486"/>
    </row>
    <row r="954" spans="1:9" ht="12.75" customHeight="1">
      <c r="A954" s="979"/>
      <c r="B954" s="979"/>
      <c r="C954" s="979"/>
      <c r="D954" s="978"/>
      <c r="E954" s="978"/>
      <c r="F954" s="978"/>
      <c r="G954" s="978"/>
      <c r="I954" s="486"/>
    </row>
    <row r="955" spans="1:9" ht="12.75" customHeight="1">
      <c r="A955" s="979"/>
      <c r="B955" s="481" t="s">
        <v>2825</v>
      </c>
      <c r="C955" s="979"/>
      <c r="D955" s="1377" t="s">
        <v>1767</v>
      </c>
      <c r="E955" s="1377"/>
      <c r="F955" s="1377"/>
      <c r="G955" s="978"/>
      <c r="I955" s="486"/>
    </row>
    <row r="956" spans="1:9" ht="12.75" customHeight="1">
      <c r="A956" s="979"/>
      <c r="B956" s="979"/>
      <c r="C956" s="979"/>
      <c r="D956" s="1377"/>
      <c r="E956" s="1377"/>
      <c r="F956" s="1377"/>
      <c r="G956" s="978"/>
      <c r="I956" s="486"/>
    </row>
    <row r="957" spans="1:9" ht="12.75" customHeight="1">
      <c r="A957" s="979"/>
      <c r="B957" s="979"/>
      <c r="C957" s="979"/>
      <c r="D957" s="1377"/>
      <c r="E957" s="1377"/>
      <c r="F957" s="1377"/>
      <c r="G957" s="978"/>
      <c r="I957" s="486"/>
    </row>
    <row r="958" spans="1:9" ht="12.75" customHeight="1">
      <c r="A958" s="979"/>
      <c r="B958" s="979"/>
      <c r="C958" s="979"/>
      <c r="D958" s="1377"/>
      <c r="E958" s="1377"/>
      <c r="F958" s="1377"/>
      <c r="G958" s="978"/>
      <c r="I958" s="486"/>
    </row>
    <row r="959" spans="1:9" ht="12.75" customHeight="1">
      <c r="A959" s="979"/>
      <c r="B959" s="979"/>
      <c r="C959" s="979"/>
      <c r="D959" s="118"/>
      <c r="E959" s="978"/>
      <c r="F959" s="978"/>
      <c r="G959" s="978"/>
      <c r="I959" s="486"/>
    </row>
    <row r="960" spans="1:9" ht="12.75" customHeight="1">
      <c r="A960" s="979"/>
      <c r="B960" s="481" t="s">
        <v>2825</v>
      </c>
      <c r="C960" s="979"/>
      <c r="D960" s="1373" t="s">
        <v>2020</v>
      </c>
      <c r="E960" s="1373"/>
      <c r="F960" s="1373"/>
      <c r="G960" s="978"/>
      <c r="I960" s="486"/>
    </row>
    <row r="961" spans="1:9" ht="12.75" customHeight="1">
      <c r="A961" s="979"/>
      <c r="B961" s="979"/>
      <c r="C961" s="979"/>
      <c r="D961" s="118"/>
      <c r="E961" s="978"/>
      <c r="F961" s="978"/>
      <c r="G961" s="978"/>
      <c r="I961" s="486"/>
    </row>
    <row r="962" spans="1:9" ht="12.75" customHeight="1">
      <c r="A962" s="979"/>
      <c r="B962" s="481" t="s">
        <v>2825</v>
      </c>
      <c r="C962" s="979"/>
      <c r="D962" s="1373" t="s">
        <v>2021</v>
      </c>
      <c r="E962" s="1373"/>
      <c r="F962" s="1373"/>
      <c r="G962" s="978"/>
      <c r="I962" s="486"/>
    </row>
    <row r="963" spans="1:9" ht="12.75" customHeight="1">
      <c r="A963" s="174"/>
      <c r="B963" s="174"/>
      <c r="C963" s="174"/>
      <c r="D963" s="2"/>
      <c r="E963" s="3"/>
      <c r="F963" s="978"/>
      <c r="G963" s="978"/>
      <c r="I963" s="486"/>
    </row>
    <row r="964" spans="1:9" customFormat="1">
      <c r="A964" s="979"/>
      <c r="B964" s="350"/>
      <c r="C964" s="979"/>
      <c r="D964" s="1376" t="s">
        <v>2646</v>
      </c>
      <c r="E964" s="1376"/>
      <c r="F964" s="1376"/>
      <c r="G964" s="978"/>
      <c r="H964" s="1265"/>
      <c r="I964" s="1265"/>
    </row>
    <row r="965" spans="1:9" customFormat="1">
      <c r="A965" s="979"/>
      <c r="B965" s="350"/>
      <c r="C965" s="979"/>
      <c r="D965" s="173"/>
      <c r="E965" s="978"/>
      <c r="F965" s="978"/>
      <c r="G965" s="978"/>
      <c r="H965" s="1265"/>
      <c r="I965" s="1265"/>
    </row>
    <row r="966" spans="1:9" customFormat="1" ht="14.4">
      <c r="A966" s="175"/>
      <c r="B966" s="1261"/>
      <c r="C966" s="979"/>
      <c r="D966" s="1354" t="s">
        <v>2649</v>
      </c>
      <c r="E966" s="1354"/>
      <c r="F966" s="1354"/>
      <c r="G966" s="978"/>
      <c r="H966" s="1265"/>
      <c r="I966" s="1265"/>
    </row>
    <row r="967" spans="1:9" customFormat="1">
      <c r="A967" s="979"/>
      <c r="B967" s="979"/>
      <c r="C967" s="979"/>
      <c r="D967" s="1354"/>
      <c r="E967" s="1354"/>
      <c r="F967" s="1354"/>
      <c r="G967" s="978"/>
      <c r="H967" s="1265"/>
      <c r="I967" s="1265"/>
    </row>
    <row r="968" spans="1:9" customFormat="1">
      <c r="A968" s="979"/>
      <c r="B968" s="979"/>
      <c r="C968" s="979"/>
      <c r="D968" s="1354"/>
      <c r="E968" s="1354"/>
      <c r="F968" s="1354"/>
      <c r="G968" s="978"/>
      <c r="H968" s="1265"/>
      <c r="I968" s="1265"/>
    </row>
    <row r="969" spans="1:9" customFormat="1">
      <c r="A969" s="979"/>
      <c r="B969" s="979"/>
      <c r="C969" s="979"/>
      <c r="D969" s="1354"/>
      <c r="E969" s="1354"/>
      <c r="F969" s="1354"/>
      <c r="G969" s="978"/>
      <c r="H969" s="1265"/>
      <c r="I969" s="1265"/>
    </row>
    <row r="970" spans="1:9" customFormat="1">
      <c r="A970" s="979"/>
      <c r="B970" s="979"/>
      <c r="C970" s="979"/>
      <c r="D970" s="1354"/>
      <c r="E970" s="1354"/>
      <c r="F970" s="1354"/>
      <c r="G970" s="978"/>
      <c r="H970" s="1265"/>
      <c r="I970" s="1265"/>
    </row>
    <row r="971" spans="1:9" customFormat="1">
      <c r="A971" s="979"/>
      <c r="B971" s="979"/>
      <c r="C971" s="979"/>
      <c r="D971" s="1354"/>
      <c r="E971" s="1354"/>
      <c r="F971" s="1354"/>
      <c r="G971" s="978"/>
      <c r="H971" s="1265"/>
      <c r="I971" s="1265"/>
    </row>
    <row r="972" spans="1:9" customFormat="1">
      <c r="A972" s="979"/>
      <c r="B972" s="979"/>
      <c r="C972" s="979"/>
      <c r="D972" s="1354"/>
      <c r="E972" s="1354"/>
      <c r="F972" s="1354"/>
      <c r="G972" s="978"/>
      <c r="H972" s="1265"/>
      <c r="I972" s="1265"/>
    </row>
    <row r="973" spans="1:9" customFormat="1">
      <c r="A973" s="979"/>
      <c r="B973" s="979"/>
      <c r="C973" s="979"/>
      <c r="D973" s="3"/>
      <c r="E973" s="3"/>
      <c r="F973" s="3"/>
      <c r="G973" s="978"/>
      <c r="H973" s="1265"/>
      <c r="I973" s="1265"/>
    </row>
    <row r="974" spans="1:9" ht="12.75" customHeight="1">
      <c r="A974" s="987"/>
      <c r="B974" s="481" t="s">
        <v>2824</v>
      </c>
      <c r="C974" s="988"/>
      <c r="D974" s="1365" t="s">
        <v>1763</v>
      </c>
      <c r="E974" s="1365"/>
      <c r="F974" s="1365"/>
      <c r="G974" s="989"/>
      <c r="I974" s="486"/>
    </row>
    <row r="975" spans="1:9" ht="12.75" customHeight="1">
      <c r="A975" s="987"/>
      <c r="B975" s="987"/>
      <c r="C975" s="988"/>
      <c r="D975" s="1365"/>
      <c r="E975" s="1365"/>
      <c r="F975" s="1365"/>
      <c r="G975" s="989"/>
      <c r="I975" s="486"/>
    </row>
    <row r="976" spans="1:9" ht="12.75" customHeight="1">
      <c r="A976" s="987"/>
      <c r="B976" s="987"/>
      <c r="C976" s="988"/>
      <c r="D976" s="1365"/>
      <c r="E976" s="1365"/>
      <c r="F976" s="1365"/>
      <c r="G976" s="989"/>
      <c r="I976" s="486"/>
    </row>
    <row r="977" spans="1:9" ht="12.75" customHeight="1">
      <c r="A977" s="987"/>
      <c r="B977" s="987"/>
      <c r="C977" s="988"/>
      <c r="D977" s="1365"/>
      <c r="E977" s="1365"/>
      <c r="F977" s="1365"/>
      <c r="G977" s="989"/>
      <c r="I977" s="486"/>
    </row>
    <row r="978" spans="1:9" ht="12.75" customHeight="1">
      <c r="A978" s="987"/>
      <c r="B978" s="987"/>
      <c r="C978" s="988"/>
      <c r="D978" s="1365"/>
      <c r="E978" s="1365"/>
      <c r="F978" s="1365"/>
      <c r="G978" s="989"/>
      <c r="I978" s="486"/>
    </row>
    <row r="979" spans="1:9" ht="12.75" customHeight="1">
      <c r="A979" s="987"/>
      <c r="B979" s="987"/>
      <c r="C979" s="988"/>
      <c r="D979" s="1365"/>
      <c r="E979" s="1365"/>
      <c r="F979" s="1365"/>
      <c r="G979" s="989"/>
      <c r="I979" s="486"/>
    </row>
    <row r="980" spans="1:9" ht="12.75" customHeight="1">
      <c r="A980" s="987"/>
      <c r="B980" s="987"/>
      <c r="C980" s="988"/>
      <c r="D980" s="1365"/>
      <c r="E980" s="1365"/>
      <c r="F980" s="1365"/>
      <c r="G980" s="989"/>
      <c r="I980" s="486"/>
    </row>
    <row r="981" spans="1:9" ht="12.75" customHeight="1">
      <c r="A981" s="987"/>
      <c r="B981" s="987"/>
      <c r="C981" s="988"/>
      <c r="D981" s="1365"/>
      <c r="E981" s="1365"/>
      <c r="F981" s="1365"/>
      <c r="G981" s="989"/>
      <c r="I981" s="486"/>
    </row>
    <row r="982" spans="1:9" ht="12.75" customHeight="1">
      <c r="A982" s="987"/>
      <c r="B982" s="987"/>
      <c r="C982" s="988"/>
      <c r="D982" s="1365"/>
      <c r="E982" s="1365"/>
      <c r="F982" s="1365"/>
      <c r="G982" s="989"/>
      <c r="I982" s="486"/>
    </row>
    <row r="983" spans="1:9" ht="12.75" customHeight="1">
      <c r="A983" s="174"/>
      <c r="B983" s="174"/>
      <c r="C983" s="174"/>
      <c r="D983" s="2"/>
      <c r="E983" s="3"/>
      <c r="F983" s="978"/>
      <c r="G983" s="978"/>
      <c r="I983" s="486"/>
    </row>
    <row r="984" spans="1:9" customFormat="1">
      <c r="A984" s="979"/>
      <c r="B984" s="1261" t="s">
        <v>307</v>
      </c>
      <c r="C984" s="979"/>
      <c r="D984" s="1377" t="s">
        <v>2650</v>
      </c>
      <c r="E984" s="1377"/>
      <c r="F984" s="1377"/>
      <c r="G984" s="978"/>
    </row>
    <row r="985" spans="1:9" customFormat="1">
      <c r="A985" s="979"/>
      <c r="B985" s="979"/>
      <c r="C985" s="979"/>
      <c r="D985" s="1377"/>
      <c r="E985" s="1377"/>
      <c r="F985" s="1377"/>
      <c r="G985" s="978"/>
    </row>
    <row r="986" spans="1:9" customFormat="1">
      <c r="A986" s="979"/>
      <c r="B986" s="979"/>
      <c r="C986" s="979"/>
      <c r="D986" s="1377"/>
      <c r="E986" s="1377"/>
      <c r="F986" s="1377"/>
      <c r="G986" s="978"/>
    </row>
    <row r="987" spans="1:9" customFormat="1">
      <c r="A987" s="979"/>
      <c r="B987" s="979"/>
      <c r="C987" s="979"/>
      <c r="D987" s="978"/>
      <c r="E987" s="978"/>
      <c r="F987" s="978"/>
      <c r="G987" s="978"/>
    </row>
    <row r="988" spans="1:9" customFormat="1" ht="14.4">
      <c r="A988" s="175"/>
      <c r="B988" s="1261" t="s">
        <v>307</v>
      </c>
      <c r="C988" s="492"/>
      <c r="D988" s="1378" t="s">
        <v>2651</v>
      </c>
      <c r="E988" s="1378"/>
      <c r="F988" s="1378"/>
      <c r="G988" s="1266"/>
    </row>
    <row r="989" spans="1:9" customFormat="1">
      <c r="A989" s="492"/>
      <c r="B989" s="492"/>
      <c r="C989" s="492"/>
      <c r="D989" s="1378"/>
      <c r="E989" s="1378"/>
      <c r="F989" s="1378"/>
      <c r="G989" s="1266"/>
    </row>
    <row r="990" spans="1:9" customFormat="1">
      <c r="A990" s="492"/>
      <c r="B990" s="492"/>
      <c r="C990" s="492"/>
      <c r="D990" s="1378"/>
      <c r="E990" s="1378"/>
      <c r="F990" s="1378"/>
      <c r="G990" s="1266"/>
    </row>
    <row r="991" spans="1:9" customFormat="1">
      <c r="A991" s="492"/>
      <c r="B991" s="492"/>
      <c r="C991" s="492"/>
      <c r="D991" s="1378"/>
      <c r="E991" s="1378"/>
      <c r="F991" s="1378"/>
      <c r="G991" s="1266"/>
    </row>
    <row r="992" spans="1:9" customFormat="1">
      <c r="A992" s="492"/>
      <c r="B992" s="492"/>
      <c r="C992" s="492"/>
      <c r="D992" s="1260"/>
      <c r="E992" s="1260"/>
      <c r="F992" s="1260"/>
      <c r="G992" s="1266"/>
    </row>
    <row r="993" spans="1:9" customFormat="1">
      <c r="A993" s="979"/>
      <c r="B993" s="979"/>
      <c r="C993" s="979"/>
      <c r="D993" s="1376" t="s">
        <v>2647</v>
      </c>
      <c r="E993" s="1376"/>
      <c r="F993" s="1376"/>
      <c r="G993" s="978"/>
      <c r="H993" s="1265"/>
      <c r="I993" s="1265"/>
    </row>
    <row r="994" spans="1:9" customFormat="1">
      <c r="A994" s="979"/>
      <c r="B994" s="979"/>
      <c r="C994" s="979"/>
      <c r="D994" s="173"/>
      <c r="E994" s="978"/>
      <c r="F994" s="978"/>
      <c r="G994" s="978"/>
      <c r="H994" s="1265"/>
      <c r="I994" s="1265"/>
    </row>
    <row r="995" spans="1:9" customFormat="1" ht="14.4">
      <c r="A995" s="175"/>
      <c r="B995" s="1261" t="s">
        <v>307</v>
      </c>
      <c r="C995" s="979"/>
      <c r="D995" s="1354" t="s">
        <v>2648</v>
      </c>
      <c r="E995" s="1354"/>
      <c r="F995" s="1354"/>
      <c r="G995" s="978"/>
      <c r="H995" s="1265"/>
      <c r="I995" s="1265"/>
    </row>
    <row r="996" spans="1:9" customFormat="1">
      <c r="A996" s="979"/>
      <c r="B996" s="979"/>
      <c r="C996" s="979"/>
      <c r="D996" s="1354"/>
      <c r="E996" s="1354"/>
      <c r="F996" s="1354"/>
      <c r="G996" s="978"/>
      <c r="H996" s="1265"/>
      <c r="I996" s="1265"/>
    </row>
    <row r="997" spans="1:9" customFormat="1">
      <c r="A997" s="979"/>
      <c r="B997" s="979"/>
      <c r="C997" s="979"/>
      <c r="D997" s="1354"/>
      <c r="E997" s="1354"/>
      <c r="F997" s="1354"/>
      <c r="G997" s="978"/>
      <c r="H997" s="1265"/>
      <c r="I997" s="1265"/>
    </row>
    <row r="998" spans="1:9" customFormat="1">
      <c r="A998" s="979"/>
      <c r="B998" s="979"/>
      <c r="C998" s="979"/>
      <c r="D998" s="3"/>
      <c r="E998" s="3"/>
      <c r="F998" s="3"/>
      <c r="G998" s="978"/>
      <c r="H998" s="1265"/>
      <c r="I998" s="1265"/>
    </row>
    <row r="999" spans="1:9" ht="12.75" customHeight="1">
      <c r="A999" s="175"/>
      <c r="B999" s="481" t="s">
        <v>2824</v>
      </c>
      <c r="C999" s="174"/>
      <c r="D999" s="1381" t="s">
        <v>1853</v>
      </c>
      <c r="E999" s="1381"/>
      <c r="F999" s="1381"/>
      <c r="G999" s="978"/>
      <c r="I999" s="486"/>
    </row>
    <row r="1000" spans="1:9" ht="12.75" customHeight="1">
      <c r="A1000" s="175"/>
      <c r="B1000" s="175"/>
      <c r="C1000" s="174"/>
      <c r="D1000" s="1381"/>
      <c r="E1000" s="1381"/>
      <c r="F1000" s="1381"/>
      <c r="G1000" s="978"/>
      <c r="I1000" s="486"/>
    </row>
    <row r="1001" spans="1:9" ht="12.75" customHeight="1">
      <c r="A1001" s="175"/>
      <c r="B1001" s="175"/>
      <c r="C1001" s="174"/>
      <c r="D1001" s="1381"/>
      <c r="E1001" s="1381"/>
      <c r="F1001" s="1381"/>
      <c r="G1001" s="978"/>
      <c r="I1001" s="486"/>
    </row>
    <row r="1002" spans="1:9" ht="12.75" customHeight="1">
      <c r="A1002" s="175"/>
      <c r="B1002" s="175"/>
      <c r="C1002" s="174"/>
      <c r="D1002" s="1381"/>
      <c r="E1002" s="1381"/>
      <c r="F1002" s="1381"/>
      <c r="G1002" s="978"/>
      <c r="I1002" s="486"/>
    </row>
    <row r="1003" spans="1:9" ht="12.75" customHeight="1">
      <c r="A1003" s="175"/>
      <c r="B1003" s="175"/>
      <c r="C1003" s="174"/>
      <c r="D1003" s="1381"/>
      <c r="E1003" s="1381"/>
      <c r="F1003" s="1381"/>
      <c r="G1003" s="978"/>
      <c r="I1003" s="486"/>
    </row>
    <row r="1004" spans="1:9" ht="12.75" customHeight="1">
      <c r="A1004" s="175"/>
      <c r="B1004" s="175"/>
      <c r="C1004" s="174"/>
      <c r="D1004" s="1381"/>
      <c r="E1004" s="1381"/>
      <c r="F1004" s="1381"/>
      <c r="G1004" s="978"/>
      <c r="I1004" s="486"/>
    </row>
    <row r="1005" spans="1:9" ht="12.75" customHeight="1">
      <c r="A1005" s="175"/>
      <c r="B1005" s="175"/>
      <c r="C1005" s="174"/>
      <c r="D1005" s="1381"/>
      <c r="E1005" s="1381"/>
      <c r="F1005" s="1381"/>
      <c r="G1005" s="978"/>
      <c r="I1005" s="486"/>
    </row>
    <row r="1006" spans="1:9" ht="12.75" customHeight="1">
      <c r="A1006" s="175"/>
      <c r="B1006" s="175"/>
      <c r="C1006" s="174"/>
      <c r="D1006" s="1016"/>
      <c r="E1006" s="1016"/>
      <c r="F1006" s="1016"/>
      <c r="G1006" s="978"/>
      <c r="I1006" s="486"/>
    </row>
    <row r="1007" spans="1:9" customFormat="1" ht="12.75" customHeight="1">
      <c r="A1007" s="979"/>
      <c r="B1007" s="1261" t="s">
        <v>307</v>
      </c>
      <c r="C1007" s="979"/>
      <c r="D1007" s="1364" t="s">
        <v>2645</v>
      </c>
      <c r="E1007" s="1364"/>
      <c r="F1007" s="1364"/>
      <c r="G1007" s="1264"/>
      <c r="H1007" s="1265"/>
      <c r="I1007" s="1265"/>
    </row>
    <row r="1008" spans="1:9" customFormat="1">
      <c r="A1008" s="979"/>
      <c r="B1008" s="979"/>
      <c r="C1008" s="979"/>
      <c r="D1008" s="1364"/>
      <c r="E1008" s="1364"/>
      <c r="F1008" s="1364"/>
      <c r="G1008" s="1264"/>
      <c r="H1008" s="1265"/>
      <c r="I1008" s="1265"/>
    </row>
    <row r="1009" spans="1:9" customFormat="1">
      <c r="A1009" s="979"/>
      <c r="B1009" s="979"/>
      <c r="C1009" s="979"/>
      <c r="D1009" s="1364"/>
      <c r="E1009" s="1364"/>
      <c r="F1009" s="1364"/>
      <c r="G1009" s="1264"/>
      <c r="H1009" s="1265"/>
      <c r="I1009" s="1265"/>
    </row>
    <row r="1010" spans="1:9" customFormat="1">
      <c r="A1010" s="979"/>
      <c r="B1010" s="979"/>
      <c r="C1010" s="979"/>
      <c r="D1010" s="1364"/>
      <c r="E1010" s="1364"/>
      <c r="F1010" s="1364"/>
      <c r="G1010" s="1264"/>
      <c r="H1010" s="1265"/>
      <c r="I1010" s="1265"/>
    </row>
    <row r="1011" spans="1:9" customFormat="1">
      <c r="A1011" s="979"/>
      <c r="B1011" s="979"/>
      <c r="C1011" s="979"/>
      <c r="D1011" s="1364"/>
      <c r="E1011" s="1364"/>
      <c r="F1011" s="1364"/>
      <c r="G1011" s="1264"/>
      <c r="H1011" s="1265"/>
      <c r="I1011" s="1265"/>
    </row>
    <row r="1012" spans="1:9" customFormat="1">
      <c r="A1012" s="979"/>
      <c r="B1012" s="979"/>
      <c r="C1012" s="979"/>
      <c r="D1012" s="1364"/>
      <c r="E1012" s="1364"/>
      <c r="F1012" s="1364"/>
      <c r="G1012" s="1264"/>
      <c r="H1012" s="1265"/>
      <c r="I1012" s="1265"/>
    </row>
    <row r="1013" spans="1:9" customFormat="1">
      <c r="A1013" s="979"/>
      <c r="B1013" s="979"/>
      <c r="C1013" s="979"/>
      <c r="D1013" s="1364"/>
      <c r="E1013" s="1364"/>
      <c r="F1013" s="1364"/>
      <c r="G1013" s="1264"/>
      <c r="H1013" s="1265"/>
      <c r="I1013" s="1265"/>
    </row>
    <row r="1014" spans="1:9" customFormat="1">
      <c r="A1014" s="979"/>
      <c r="B1014" s="979"/>
      <c r="C1014" s="979"/>
      <c r="D1014" s="1364"/>
      <c r="E1014" s="1364"/>
      <c r="F1014" s="1364"/>
      <c r="G1014" s="1264"/>
      <c r="H1014" s="1265"/>
      <c r="I1014" s="1265"/>
    </row>
    <row r="1015" spans="1:9" customFormat="1">
      <c r="A1015" s="979"/>
      <c r="B1015" s="979"/>
      <c r="C1015" s="979"/>
      <c r="D1015" s="1364"/>
      <c r="E1015" s="1364"/>
      <c r="F1015" s="1364"/>
      <c r="G1015" s="1264"/>
      <c r="H1015" s="1265"/>
      <c r="I1015" s="1265"/>
    </row>
    <row r="1016" spans="1:9" customFormat="1">
      <c r="A1016" s="979"/>
      <c r="B1016" s="979"/>
      <c r="C1016" s="979"/>
      <c r="D1016" s="1364"/>
      <c r="E1016" s="1364"/>
      <c r="F1016" s="1364"/>
      <c r="G1016" s="1264"/>
      <c r="H1016" s="1265"/>
      <c r="I1016" s="1265"/>
    </row>
    <row r="1017" spans="1:9" customFormat="1">
      <c r="A1017" s="979"/>
      <c r="B1017" s="979"/>
      <c r="C1017" s="979"/>
      <c r="D1017" s="1364"/>
      <c r="E1017" s="1364"/>
      <c r="F1017" s="1364"/>
      <c r="G1017" s="1264"/>
      <c r="H1017" s="1265"/>
      <c r="I1017" s="1265"/>
    </row>
    <row r="1018" spans="1:9" customFormat="1" ht="14.25" customHeight="1">
      <c r="A1018" s="979"/>
      <c r="B1018" s="979"/>
      <c r="C1018" s="979"/>
      <c r="D1018" s="1364"/>
      <c r="E1018" s="1364"/>
      <c r="F1018" s="1364"/>
      <c r="G1018" s="1264"/>
      <c r="H1018" s="1265"/>
      <c r="I1018" s="1265"/>
    </row>
    <row r="1019" spans="1:9" customFormat="1">
      <c r="A1019" s="979"/>
      <c r="B1019" s="979"/>
      <c r="C1019" s="979"/>
      <c r="D1019" s="970"/>
      <c r="E1019" s="970"/>
      <c r="F1019" s="970"/>
      <c r="G1019" s="970"/>
      <c r="H1019" s="1265"/>
      <c r="I1019" s="1265"/>
    </row>
    <row r="1020" spans="1:9" ht="12.75" customHeight="1">
      <c r="A1020" s="175"/>
      <c r="B1020" s="481" t="s">
        <v>2824</v>
      </c>
      <c r="C1020" s="174"/>
      <c r="D1020" s="1364" t="s">
        <v>2085</v>
      </c>
      <c r="E1020" s="1364"/>
      <c r="F1020" s="1364"/>
      <c r="G1020" s="978"/>
      <c r="I1020" s="486"/>
    </row>
    <row r="1021" spans="1:9" ht="12.75" customHeight="1">
      <c r="A1021" s="175"/>
      <c r="B1021" s="175"/>
      <c r="C1021" s="174"/>
      <c r="D1021" s="1364"/>
      <c r="E1021" s="1364"/>
      <c r="F1021" s="1364"/>
      <c r="G1021" s="978"/>
      <c r="I1021" s="486"/>
    </row>
    <row r="1022" spans="1:9" ht="12.75" customHeight="1">
      <c r="A1022" s="175"/>
      <c r="B1022" s="175"/>
      <c r="C1022" s="174"/>
      <c r="D1022" s="1364"/>
      <c r="E1022" s="1364"/>
      <c r="F1022" s="1364"/>
      <c r="G1022" s="978"/>
      <c r="I1022" s="486"/>
    </row>
    <row r="1023" spans="1:9" ht="12.75" customHeight="1">
      <c r="A1023" s="175"/>
      <c r="B1023" s="175"/>
      <c r="C1023" s="174"/>
      <c r="D1023" s="1364"/>
      <c r="E1023" s="1364"/>
      <c r="F1023" s="1364"/>
      <c r="G1023" s="978"/>
      <c r="I1023" s="486"/>
    </row>
    <row r="1024" spans="1:9" ht="12.75" customHeight="1">
      <c r="A1024" s="175"/>
      <c r="B1024" s="175"/>
      <c r="C1024" s="174"/>
      <c r="D1024" s="1364"/>
      <c r="E1024" s="1364"/>
      <c r="F1024" s="1364"/>
      <c r="G1024" s="978"/>
      <c r="I1024" s="486"/>
    </row>
    <row r="1025" spans="1:9" ht="12.75" customHeight="1">
      <c r="A1025" s="175"/>
      <c r="B1025" s="175"/>
      <c r="C1025" s="174"/>
      <c r="D1025" s="1364"/>
      <c r="E1025" s="1364"/>
      <c r="F1025" s="1364"/>
      <c r="G1025" s="978"/>
      <c r="I1025" s="486"/>
    </row>
    <row r="1026" spans="1:9" ht="12.75" customHeight="1">
      <c r="A1026" s="175"/>
      <c r="B1026" s="175"/>
      <c r="C1026" s="174"/>
      <c r="D1026" s="1016"/>
      <c r="E1026" s="1016"/>
      <c r="F1026" s="1016"/>
      <c r="G1026" s="978"/>
      <c r="I1026" s="486"/>
    </row>
    <row r="1027" spans="1:9" ht="12.75" customHeight="1">
      <c r="A1027" s="979"/>
      <c r="B1027" s="481" t="s">
        <v>2825</v>
      </c>
      <c r="C1027" s="979"/>
      <c r="D1027" s="1377" t="s">
        <v>1768</v>
      </c>
      <c r="E1027" s="1377"/>
      <c r="F1027" s="1377"/>
      <c r="G1027" s="978"/>
      <c r="I1027" s="486"/>
    </row>
    <row r="1028" spans="1:9" ht="12.75" customHeight="1">
      <c r="A1028" s="979"/>
      <c r="B1028" s="979"/>
      <c r="C1028" s="979"/>
      <c r="D1028" s="1377"/>
      <c r="E1028" s="1377"/>
      <c r="F1028" s="1377"/>
      <c r="G1028" s="978"/>
      <c r="I1028" s="486"/>
    </row>
    <row r="1029" spans="1:9" ht="12.75" customHeight="1">
      <c r="A1029" s="979"/>
      <c r="B1029" s="979"/>
      <c r="C1029" s="979"/>
      <c r="D1029" s="1377"/>
      <c r="E1029" s="1377"/>
      <c r="F1029" s="1377"/>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2825</v>
      </c>
      <c r="C1032" s="174"/>
      <c r="D1032" s="1365" t="s">
        <v>1852</v>
      </c>
      <c r="E1032" s="1365"/>
      <c r="F1032" s="1365"/>
      <c r="G1032" s="978"/>
      <c r="I1032" s="486"/>
    </row>
    <row r="1033" spans="1:9" ht="12.75" customHeight="1">
      <c r="A1033" s="175"/>
      <c r="B1033" s="175"/>
      <c r="C1033" s="174"/>
      <c r="D1033" s="1365"/>
      <c r="E1033" s="1365"/>
      <c r="F1033" s="1365"/>
      <c r="G1033" s="978"/>
      <c r="I1033" s="486"/>
    </row>
    <row r="1034" spans="1:9" ht="12.75" customHeight="1">
      <c r="A1034" s="175"/>
      <c r="B1034" s="175"/>
      <c r="C1034" s="174"/>
      <c r="D1034" s="1365"/>
      <c r="E1034" s="1365"/>
      <c r="F1034" s="1365"/>
      <c r="G1034" s="978"/>
      <c r="I1034" s="486"/>
    </row>
    <row r="1035" spans="1:9" ht="12.75" customHeight="1">
      <c r="A1035" s="175"/>
      <c r="B1035" s="175"/>
      <c r="C1035" s="174"/>
      <c r="D1035" s="1365"/>
      <c r="E1035" s="1365"/>
      <c r="F1035" s="1365"/>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76" t="s">
        <v>1769</v>
      </c>
      <c r="E1037" s="1376"/>
      <c r="F1037" s="1376"/>
      <c r="G1037" s="3"/>
      <c r="I1037" s="486"/>
    </row>
    <row r="1038" spans="1:9" customFormat="1" ht="14.4">
      <c r="A1038" s="175"/>
      <c r="B1038" s="1261" t="s">
        <v>307</v>
      </c>
      <c r="C1038" s="350"/>
      <c r="D1038" s="1373" t="s">
        <v>2652</v>
      </c>
      <c r="E1038" s="1373"/>
      <c r="F1038" s="1373"/>
      <c r="G1038" s="3"/>
    </row>
    <row r="1039" spans="1:9" customFormat="1">
      <c r="A1039" s="350"/>
      <c r="B1039" s="350"/>
      <c r="C1039" s="350"/>
      <c r="D1039" s="3"/>
      <c r="E1039" s="3"/>
      <c r="F1039" s="3"/>
      <c r="G1039" s="3"/>
    </row>
    <row r="1040" spans="1:9" customFormat="1" ht="14.4">
      <c r="A1040" s="175"/>
      <c r="B1040" s="1261" t="s">
        <v>307</v>
      </c>
      <c r="C1040" s="350"/>
      <c r="D1040" s="1354" t="s">
        <v>2653</v>
      </c>
      <c r="E1040" s="1354"/>
      <c r="F1040" s="1354"/>
      <c r="G1040" s="3"/>
    </row>
    <row r="1041" spans="1:9" customFormat="1" ht="14.4">
      <c r="A1041" s="175"/>
      <c r="B1041" s="175"/>
      <c r="C1041" s="350"/>
      <c r="D1041" s="1354"/>
      <c r="E1041" s="1354"/>
      <c r="F1041" s="1354"/>
      <c r="G1041" s="3"/>
    </row>
    <row r="1042" spans="1:9" ht="12.75" customHeight="1">
      <c r="A1042" s="350"/>
      <c r="B1042" s="350"/>
      <c r="C1042" s="350"/>
      <c r="D1042" s="3"/>
      <c r="E1042" s="3"/>
      <c r="F1042" s="3"/>
      <c r="G1042" s="3"/>
      <c r="I1042" s="486"/>
    </row>
    <row r="1043" spans="1:9" ht="12.75" customHeight="1">
      <c r="A1043" s="350"/>
      <c r="B1043" s="350"/>
      <c r="C1043" s="350"/>
      <c r="D1043" s="1376" t="s">
        <v>1770</v>
      </c>
      <c r="E1043" s="1376"/>
      <c r="F1043" s="1376"/>
      <c r="G1043"/>
      <c r="I1043" s="486"/>
    </row>
    <row r="1044" spans="1:9" ht="12.75" customHeight="1">
      <c r="A1044" s="175"/>
      <c r="B1044" s="481" t="s">
        <v>2825</v>
      </c>
      <c r="C1044" s="350"/>
      <c r="D1044" s="1354" t="s">
        <v>2022</v>
      </c>
      <c r="E1044" s="1354"/>
      <c r="F1044" s="1354"/>
      <c r="G1044"/>
      <c r="I1044" s="486"/>
    </row>
    <row r="1045" spans="1:9" ht="12.75" customHeight="1">
      <c r="A1045" s="175"/>
      <c r="B1045" s="175"/>
      <c r="C1045" s="350"/>
      <c r="D1045" s="1354"/>
      <c r="E1045" s="1354"/>
      <c r="F1045" s="1354"/>
      <c r="G1045"/>
      <c r="I1045" s="486"/>
    </row>
    <row r="1046" spans="1:9" ht="12.75" customHeight="1">
      <c r="A1046" s="175"/>
      <c r="B1046" s="175"/>
      <c r="C1046" s="350"/>
      <c r="D1046" s="1354"/>
      <c r="E1046" s="1354"/>
      <c r="F1046" s="1354"/>
      <c r="G1046"/>
      <c r="I1046" s="486"/>
    </row>
    <row r="1047" spans="1:9" ht="12.75" customHeight="1">
      <c r="A1047" s="175"/>
      <c r="B1047" s="175"/>
      <c r="C1047" s="350"/>
      <c r="D1047" s="1354"/>
      <c r="E1047" s="1354"/>
      <c r="F1047" s="1354"/>
      <c r="G1047"/>
      <c r="I1047" s="486"/>
    </row>
    <row r="1048" spans="1:9" ht="12.75" customHeight="1">
      <c r="A1048" s="175"/>
      <c r="B1048" s="175"/>
      <c r="C1048" s="350"/>
      <c r="D1048" s="1354"/>
      <c r="E1048" s="1354"/>
      <c r="F1048" s="1354"/>
      <c r="G1048"/>
      <c r="I1048" s="486"/>
    </row>
    <row r="1049" spans="1:9" ht="12.75" customHeight="1">
      <c r="A1049" s="175"/>
      <c r="B1049" s="175"/>
      <c r="C1049" s="350"/>
      <c r="D1049" s="1354"/>
      <c r="E1049" s="1354"/>
      <c r="F1049" s="1354"/>
      <c r="G1049"/>
      <c r="I1049" s="486"/>
    </row>
    <row r="1050" spans="1:9" ht="12.75" customHeight="1">
      <c r="A1050" s="175"/>
      <c r="B1050" s="175"/>
      <c r="C1050" s="350"/>
      <c r="D1050" s="1354"/>
      <c r="E1050" s="1354"/>
      <c r="F1050" s="1354"/>
      <c r="G1050"/>
      <c r="I1050" s="486"/>
    </row>
    <row r="1051" spans="1:9" ht="12.75" customHeight="1">
      <c r="A1051" s="175"/>
      <c r="B1051" s="175"/>
      <c r="C1051" s="350"/>
      <c r="D1051" s="1354"/>
      <c r="E1051" s="1354"/>
      <c r="F1051" s="1354"/>
      <c r="G1051"/>
      <c r="I1051" s="486"/>
    </row>
    <row r="1052" spans="1:9" ht="12.75" customHeight="1">
      <c r="A1052" s="175"/>
      <c r="B1052" s="175"/>
      <c r="C1052" s="350"/>
      <c r="D1052" s="1354"/>
      <c r="E1052" s="1354"/>
      <c r="F1052" s="1354"/>
      <c r="G1052"/>
      <c r="I1052" s="486"/>
    </row>
    <row r="1053" spans="1:9" ht="12.75" customHeight="1">
      <c r="A1053" s="175"/>
      <c r="B1053" s="175"/>
      <c r="C1053" s="350"/>
      <c r="D1053" s="1354"/>
      <c r="E1053" s="1354"/>
      <c r="F1053" s="1354"/>
      <c r="G1053"/>
      <c r="I1053" s="486"/>
    </row>
    <row r="1054" spans="1:9" ht="12.75" customHeight="1">
      <c r="A1054" s="175"/>
      <c r="B1054" s="175"/>
      <c r="C1054" s="350"/>
      <c r="D1054" s="1354"/>
      <c r="E1054" s="1354"/>
      <c r="F1054" s="1354"/>
      <c r="G1054"/>
      <c r="I1054" s="486"/>
    </row>
    <row r="1055" spans="1:9" ht="12.75" customHeight="1">
      <c r="A1055" s="175"/>
      <c r="B1055" s="175"/>
      <c r="C1055" s="350"/>
      <c r="D1055" s="1354"/>
      <c r="E1055" s="1354"/>
      <c r="F1055" s="1354"/>
      <c r="G1055"/>
      <c r="I1055" s="486"/>
    </row>
    <row r="1056" spans="1:9" ht="12.75" customHeight="1">
      <c r="A1056" s="175"/>
      <c r="B1056" s="175"/>
      <c r="C1056" s="350"/>
      <c r="D1056" s="1354"/>
      <c r="E1056" s="1354"/>
      <c r="F1056" s="1354"/>
      <c r="G1056"/>
      <c r="I1056" s="486"/>
    </row>
    <row r="1057" spans="1:9" ht="12.75" customHeight="1">
      <c r="A1057" s="175"/>
      <c r="B1057" s="175"/>
      <c r="C1057" s="350"/>
      <c r="D1057" s="1354"/>
      <c r="E1057" s="1354"/>
      <c r="F1057" s="1354"/>
      <c r="G1057"/>
      <c r="I1057" s="486"/>
    </row>
    <row r="1058" spans="1:9" ht="12.75" customHeight="1">
      <c r="A1058" s="175"/>
      <c r="B1058" s="175"/>
      <c r="C1058" s="350"/>
      <c r="D1058" s="1354"/>
      <c r="E1058" s="1354"/>
      <c r="F1058" s="1354"/>
      <c r="G1058" s="3"/>
      <c r="I1058" s="486"/>
    </row>
    <row r="1059" spans="1:9" ht="12.75" customHeight="1">
      <c r="A1059" s="350"/>
      <c r="B1059" s="350"/>
      <c r="C1059" s="350"/>
      <c r="D1059" s="3"/>
      <c r="E1059" s="3"/>
      <c r="F1059" s="3"/>
      <c r="G1059" s="3"/>
      <c r="I1059" s="486"/>
    </row>
    <row r="1060" spans="1:9" ht="12.75" customHeight="1">
      <c r="A1060" s="1379" t="s">
        <v>1771</v>
      </c>
      <c r="B1060" s="1379"/>
      <c r="C1060" s="1379"/>
      <c r="D1060" s="1379"/>
      <c r="E1060" s="1379"/>
      <c r="F1060" s="1379"/>
      <c r="G1060" s="1379"/>
      <c r="H1060" s="1018"/>
      <c r="I1060" s="1142"/>
    </row>
    <row r="1061" spans="1:9" ht="12.75" customHeight="1">
      <c r="A1061" s="118"/>
      <c r="B1061" s="118"/>
      <c r="C1061" s="350"/>
      <c r="D1061" s="3"/>
      <c r="E1061" s="3"/>
      <c r="F1061" s="3"/>
      <c r="G1061" s="3"/>
      <c r="I1061" s="486"/>
    </row>
    <row r="1062" spans="1:9" ht="12.75" customHeight="1">
      <c r="A1062" s="350"/>
      <c r="B1062" s="350"/>
      <c r="C1062" s="979"/>
      <c r="D1062" s="1376" t="s">
        <v>1791</v>
      </c>
      <c r="E1062" s="1376"/>
      <c r="F1062" s="1376"/>
      <c r="G1062" s="3"/>
      <c r="I1062" s="486"/>
    </row>
    <row r="1063" spans="1:9" ht="12.75" customHeight="1">
      <c r="A1063" s="172"/>
      <c r="B1063" s="172"/>
      <c r="C1063" s="172"/>
      <c r="D1063" s="1373" t="s">
        <v>1772</v>
      </c>
      <c r="E1063" s="1373"/>
      <c r="F1063" s="1373"/>
      <c r="G1063" s="3"/>
      <c r="I1063" s="486"/>
    </row>
    <row r="1064" spans="1:9" ht="12.75" customHeight="1">
      <c r="A1064" s="172"/>
      <c r="B1064" s="172"/>
      <c r="C1064" s="172"/>
      <c r="D1064" s="3"/>
      <c r="E1064" s="3"/>
      <c r="F1064" s="978"/>
      <c r="G1064"/>
      <c r="I1064" s="486"/>
    </row>
    <row r="1065" spans="1:9" ht="12.75" customHeight="1">
      <c r="A1065" s="350"/>
      <c r="B1065" s="481" t="s">
        <v>2824</v>
      </c>
      <c r="C1065" s="350"/>
      <c r="D1065" s="1387" t="s">
        <v>1881</v>
      </c>
      <c r="E1065" s="1387"/>
      <c r="F1065" s="1387"/>
      <c r="G1065"/>
      <c r="I1065" s="486"/>
    </row>
    <row r="1066" spans="1:9" ht="12.75" customHeight="1">
      <c r="A1066" s="350"/>
      <c r="B1066" s="350"/>
      <c r="C1066" s="350"/>
      <c r="D1066" s="1387"/>
      <c r="E1066" s="1387"/>
      <c r="F1066" s="1387"/>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359" t="s">
        <v>1880</v>
      </c>
      <c r="E1068" s="1359"/>
      <c r="F1068" s="1359"/>
      <c r="G1068"/>
      <c r="I1068" s="486"/>
    </row>
    <row r="1069" spans="1:9" ht="12.75" customHeight="1">
      <c r="A1069" s="350"/>
      <c r="B1069" s="350"/>
      <c r="C1069" s="350"/>
      <c r="D1069" s="1359"/>
      <c r="E1069" s="1359"/>
      <c r="F1069" s="1359"/>
      <c r="G1069"/>
      <c r="I1069" s="486"/>
    </row>
    <row r="1070" spans="1:9" ht="12.75" customHeight="1">
      <c r="A1070" s="174"/>
      <c r="B1070" s="174"/>
      <c r="C1070" s="174"/>
      <c r="D1070" s="1359"/>
      <c r="E1070" s="1359"/>
      <c r="F1070" s="1359"/>
      <c r="G1070"/>
      <c r="I1070" s="486"/>
    </row>
    <row r="1071" spans="1:9" ht="12.75" customHeight="1">
      <c r="A1071" s="174"/>
      <c r="B1071" s="174"/>
      <c r="C1071" s="174"/>
      <c r="D1071" s="1359"/>
      <c r="E1071" s="1359"/>
      <c r="F1071" s="1359"/>
      <c r="G1071"/>
      <c r="I1071" s="486"/>
    </row>
    <row r="1072" spans="1:9" ht="12.75" customHeight="1">
      <c r="A1072" s="174"/>
      <c r="B1072" s="174"/>
      <c r="C1072" s="174"/>
      <c r="D1072" s="332"/>
      <c r="E1072" s="332"/>
      <c r="F1072" s="332"/>
      <c r="G1072"/>
      <c r="I1072" s="486"/>
    </row>
    <row r="1073" spans="1:9" ht="12.75" customHeight="1">
      <c r="A1073" s="174"/>
      <c r="B1073" s="481" t="s">
        <v>2825</v>
      </c>
      <c r="C1073" s="174"/>
      <c r="D1073" s="1354" t="s">
        <v>1773</v>
      </c>
      <c r="E1073" s="1354"/>
      <c r="F1073" s="1354"/>
      <c r="G1073"/>
      <c r="I1073" s="486"/>
    </row>
    <row r="1074" spans="1:9" ht="12.75" customHeight="1">
      <c r="A1074" s="174"/>
      <c r="B1074" s="174"/>
      <c r="C1074" s="174"/>
      <c r="D1074" s="1354"/>
      <c r="E1074" s="1354"/>
      <c r="F1074" s="1354"/>
      <c r="G1074"/>
      <c r="I1074" s="486"/>
    </row>
    <row r="1075" spans="1:9" ht="12.75" customHeight="1">
      <c r="A1075" s="174"/>
      <c r="B1075" s="174"/>
      <c r="C1075" s="174"/>
      <c r="D1075" s="1354"/>
      <c r="E1075" s="1354"/>
      <c r="F1075" s="1354"/>
      <c r="G1075"/>
      <c r="I1075" s="486"/>
    </row>
    <row r="1076" spans="1:9" ht="12.75" customHeight="1">
      <c r="A1076" s="174"/>
      <c r="B1076" s="174"/>
      <c r="C1076" s="174"/>
      <c r="D1076" s="1354"/>
      <c r="E1076" s="1354"/>
      <c r="F1076" s="1354"/>
      <c r="G1076"/>
      <c r="I1076" s="486"/>
    </row>
    <row r="1077" spans="1:9" ht="12.75" customHeight="1">
      <c r="A1077" s="174"/>
      <c r="B1077" s="174"/>
      <c r="C1077" s="174"/>
      <c r="D1077" s="437"/>
      <c r="E1077" s="437"/>
      <c r="F1077" s="437"/>
      <c r="G1077"/>
      <c r="I1077" s="486"/>
    </row>
    <row r="1078" spans="1:9" ht="12.75" customHeight="1">
      <c r="A1078" s="174"/>
      <c r="B1078" s="481" t="s">
        <v>2825</v>
      </c>
      <c r="C1078" s="174"/>
      <c r="D1078" s="1354" t="s">
        <v>2176</v>
      </c>
      <c r="E1078" s="1354"/>
      <c r="F1078" s="1354"/>
      <c r="G1078"/>
      <c r="I1078" s="486"/>
    </row>
    <row r="1079" spans="1:9" ht="12.75" customHeight="1">
      <c r="A1079" s="174"/>
      <c r="B1079" s="174"/>
      <c r="C1079" s="174"/>
      <c r="D1079" s="1354"/>
      <c r="E1079" s="1354"/>
      <c r="F1079" s="1354"/>
      <c r="G1079"/>
      <c r="I1079" s="486"/>
    </row>
    <row r="1080" spans="1:9" ht="12.75" customHeight="1">
      <c r="A1080" s="174"/>
      <c r="B1080" s="174"/>
      <c r="C1080" s="174"/>
      <c r="D1080" s="437"/>
      <c r="E1080" s="437"/>
      <c r="F1080" s="437"/>
      <c r="G1080"/>
      <c r="I1080" s="486"/>
    </row>
    <row r="1081" spans="1:9" ht="12.75" customHeight="1">
      <c r="A1081" s="175"/>
      <c r="B1081" s="481" t="s">
        <v>2825</v>
      </c>
      <c r="C1081" s="350"/>
      <c r="D1081" s="1373" t="s">
        <v>1774</v>
      </c>
      <c r="E1081" s="1373"/>
      <c r="F1081" s="1373"/>
      <c r="G1081"/>
      <c r="I1081" s="486"/>
    </row>
    <row r="1082" spans="1:9" ht="12.75" customHeight="1">
      <c r="A1082" s="350"/>
      <c r="B1082" s="350"/>
      <c r="C1082" s="350"/>
      <c r="D1082" s="3"/>
      <c r="E1082" s="3"/>
      <c r="F1082" s="3"/>
      <c r="G1082"/>
      <c r="I1082" s="486"/>
    </row>
    <row r="1083" spans="1:9" ht="12.75" customHeight="1">
      <c r="A1083" s="175"/>
      <c r="B1083" s="481" t="s">
        <v>2825</v>
      </c>
      <c r="C1083" s="350"/>
      <c r="D1083" s="1373" t="s">
        <v>1775</v>
      </c>
      <c r="E1083" s="1373"/>
      <c r="F1083" s="1373"/>
      <c r="G1083"/>
      <c r="I1083" s="486"/>
    </row>
    <row r="1084" spans="1:9" ht="12.75" customHeight="1">
      <c r="A1084" s="350"/>
      <c r="B1084" s="350"/>
      <c r="C1084" s="350"/>
      <c r="D1084" s="118"/>
      <c r="E1084" s="3"/>
      <c r="F1084" s="3"/>
      <c r="G1084"/>
      <c r="I1084" s="486"/>
    </row>
    <row r="1085" spans="1:9" ht="12.75" customHeight="1">
      <c r="A1085" s="175"/>
      <c r="B1085" s="481" t="s">
        <v>2824</v>
      </c>
      <c r="C1085" s="350"/>
      <c r="D1085" s="1373" t="s">
        <v>1776</v>
      </c>
      <c r="E1085" s="1373"/>
      <c r="F1085" s="1373"/>
      <c r="G1085"/>
      <c r="I1085" s="486"/>
    </row>
    <row r="1086" spans="1:9" ht="12.75" customHeight="1">
      <c r="A1086" s="350"/>
      <c r="B1086" s="350"/>
      <c r="C1086" s="350"/>
      <c r="D1086" s="118"/>
      <c r="E1086" s="3"/>
      <c r="F1086" s="3"/>
      <c r="G1086"/>
      <c r="I1086" s="486"/>
    </row>
    <row r="1087" spans="1:9" ht="12.75" customHeight="1">
      <c r="A1087" s="175"/>
      <c r="B1087" s="481" t="s">
        <v>2824</v>
      </c>
      <c r="C1087" s="350"/>
      <c r="D1087" s="1354" t="s">
        <v>1777</v>
      </c>
      <c r="E1087" s="1354"/>
      <c r="F1087" s="1354"/>
      <c r="G1087"/>
      <c r="I1087" s="486"/>
    </row>
    <row r="1088" spans="1:9" ht="12.75" customHeight="1">
      <c r="A1088" s="175"/>
      <c r="B1088" s="175"/>
      <c r="C1088" s="350"/>
      <c r="D1088" s="1354"/>
      <c r="E1088" s="1354"/>
      <c r="F1088" s="1354"/>
      <c r="G1088"/>
      <c r="I1088" s="486"/>
    </row>
    <row r="1089" spans="1:9" ht="12.75" customHeight="1">
      <c r="A1089" s="175"/>
      <c r="B1089" s="175"/>
      <c r="C1089" s="350"/>
      <c r="D1089" s="118"/>
      <c r="E1089" s="3"/>
      <c r="F1089" s="3"/>
      <c r="G1089" s="3"/>
      <c r="I1089" s="486"/>
    </row>
    <row r="1090" spans="1:9" ht="12.75" customHeight="1">
      <c r="A1090" s="254"/>
      <c r="B1090" s="481" t="s">
        <v>2825</v>
      </c>
      <c r="C1090" s="990"/>
      <c r="D1090" s="1388" t="s">
        <v>1778</v>
      </c>
      <c r="E1090" s="1388"/>
      <c r="F1090" s="1388"/>
      <c r="G1090" s="991"/>
      <c r="I1090" s="486"/>
    </row>
    <row r="1091" spans="1:9" ht="12.75" customHeight="1">
      <c r="A1091" s="990"/>
      <c r="B1091" s="990"/>
      <c r="C1091" s="990"/>
      <c r="D1091" s="1388"/>
      <c r="E1091" s="1388"/>
      <c r="F1091" s="1388"/>
      <c r="G1091" s="991"/>
      <c r="I1091" s="486"/>
    </row>
    <row r="1092" spans="1:9" ht="12.75" customHeight="1">
      <c r="A1092" s="990"/>
      <c r="B1092" s="990"/>
      <c r="C1092" s="990"/>
      <c r="D1092" s="974"/>
      <c r="E1092" s="991"/>
      <c r="F1092" s="991"/>
      <c r="G1092" s="991"/>
      <c r="I1092" s="486"/>
    </row>
    <row r="1093" spans="1:9" ht="12.75" customHeight="1">
      <c r="A1093" s="254"/>
      <c r="B1093" s="481" t="s">
        <v>2825</v>
      </c>
      <c r="C1093" s="990"/>
      <c r="D1093" s="1385" t="s">
        <v>1779</v>
      </c>
      <c r="E1093" s="1385"/>
      <c r="F1093" s="1385"/>
      <c r="G1093" s="991"/>
      <c r="I1093" s="486"/>
    </row>
    <row r="1094" spans="1:9" ht="12.75" customHeight="1">
      <c r="A1094" s="990"/>
      <c r="B1094" s="990"/>
      <c r="C1094" s="990"/>
      <c r="D1094" s="974"/>
      <c r="E1094" s="991"/>
      <c r="F1094" s="991"/>
      <c r="G1094" s="991"/>
      <c r="I1094" s="486"/>
    </row>
    <row r="1095" spans="1:9" ht="12.75" customHeight="1">
      <c r="A1095" s="175"/>
      <c r="B1095" s="481" t="s">
        <v>2825</v>
      </c>
      <c r="C1095" s="350"/>
      <c r="D1095" s="1373" t="s">
        <v>1780</v>
      </c>
      <c r="E1095" s="1373"/>
      <c r="F1095" s="1373"/>
      <c r="G1095" s="3"/>
      <c r="I1095" s="486"/>
    </row>
    <row r="1096" spans="1:9" ht="12.75" customHeight="1">
      <c r="A1096" s="175"/>
      <c r="B1096" s="175"/>
      <c r="C1096" s="350"/>
      <c r="D1096" s="118"/>
      <c r="E1096" s="3"/>
      <c r="F1096" s="3"/>
      <c r="G1096" s="3"/>
      <c r="I1096" s="486"/>
    </row>
    <row r="1097" spans="1:9" ht="12.75" customHeight="1">
      <c r="A1097" s="175"/>
      <c r="B1097" s="481" t="s">
        <v>2825</v>
      </c>
      <c r="C1097" s="350"/>
      <c r="D1097" s="1354" t="s">
        <v>1781</v>
      </c>
      <c r="E1097" s="1354"/>
      <c r="F1097" s="1354"/>
      <c r="G1097" s="3"/>
      <c r="I1097" s="486"/>
    </row>
    <row r="1098" spans="1:9" ht="12.75" customHeight="1">
      <c r="A1098" s="175"/>
      <c r="B1098" s="175"/>
      <c r="C1098" s="350"/>
      <c r="D1098" s="1354"/>
      <c r="E1098" s="1354"/>
      <c r="F1098" s="1354"/>
      <c r="G1098" s="3"/>
      <c r="I1098" s="486"/>
    </row>
    <row r="1099" spans="1:9" ht="12.75" customHeight="1">
      <c r="A1099" s="350"/>
      <c r="B1099" s="350"/>
      <c r="C1099" s="350"/>
      <c r="D1099" s="3"/>
      <c r="E1099" s="3"/>
      <c r="F1099" s="3"/>
      <c r="G1099" s="3"/>
      <c r="I1099" s="486"/>
    </row>
    <row r="1100" spans="1:9" ht="12.75" customHeight="1">
      <c r="A1100" s="1379" t="s">
        <v>1782</v>
      </c>
      <c r="B1100" s="1379"/>
      <c r="C1100" s="1379"/>
      <c r="D1100" s="1379"/>
      <c r="E1100" s="1379"/>
      <c r="F1100" s="1379"/>
      <c r="G1100" s="1379"/>
      <c r="H1100" s="1018"/>
      <c r="I1100" s="1142"/>
    </row>
    <row r="1101" spans="1:9" ht="12.75" customHeight="1">
      <c r="A1101" s="350"/>
      <c r="B1101" s="350"/>
      <c r="C1101" s="350"/>
      <c r="D1101" s="3"/>
      <c r="E1101" s="3"/>
      <c r="F1101" s="3"/>
      <c r="G1101" s="3"/>
      <c r="I1101" s="486"/>
    </row>
    <row r="1102" spans="1:9" ht="12.75" customHeight="1">
      <c r="A1102" s="350"/>
      <c r="B1102" s="350"/>
      <c r="C1102" s="350"/>
      <c r="D1102" s="1380" t="s">
        <v>1783</v>
      </c>
      <c r="E1102" s="1380"/>
      <c r="F1102" s="1380"/>
      <c r="G1102" s="3"/>
      <c r="I1102" s="486"/>
    </row>
    <row r="1103" spans="1:9" ht="12.75" customHeight="1">
      <c r="A1103" s="350"/>
      <c r="B1103" s="350"/>
      <c r="C1103" s="350"/>
      <c r="D1103" s="1385" t="s">
        <v>1784</v>
      </c>
      <c r="E1103" s="1385"/>
      <c r="F1103" s="1385"/>
      <c r="G1103" s="3"/>
      <c r="I1103" s="486"/>
    </row>
    <row r="1104" spans="1:9" ht="12.75" customHeight="1">
      <c r="A1104" s="172"/>
      <c r="B1104" s="172"/>
      <c r="C1104" s="172"/>
      <c r="D1104" s="3"/>
      <c r="E1104" s="3"/>
      <c r="F1104" s="3"/>
      <c r="G1104" s="3"/>
      <c r="I1104" s="486"/>
    </row>
    <row r="1105" spans="1:9" ht="12.75" customHeight="1">
      <c r="A1105" s="175"/>
      <c r="B1105" s="175"/>
      <c r="C1105" s="174"/>
      <c r="D1105" s="1380" t="s">
        <v>1795</v>
      </c>
      <c r="E1105" s="1380"/>
      <c r="F1105" s="1380"/>
      <c r="G1105" s="3"/>
      <c r="I1105" s="486"/>
    </row>
    <row r="1106" spans="1:9" ht="12.75" customHeight="1">
      <c r="A1106" s="350"/>
      <c r="B1106" s="481" t="s">
        <v>2824</v>
      </c>
      <c r="C1106" s="350"/>
      <c r="D1106" s="1385" t="s">
        <v>1268</v>
      </c>
      <c r="E1106" s="1385"/>
      <c r="F1106" s="1385"/>
      <c r="G1106" s="3"/>
      <c r="I1106" s="486"/>
    </row>
    <row r="1107" spans="1:9" ht="12.75" customHeight="1">
      <c r="A1107" s="350"/>
      <c r="B1107" s="175"/>
      <c r="C1107" s="350"/>
      <c r="D1107" s="1385" t="s">
        <v>1785</v>
      </c>
      <c r="E1107" s="1385"/>
      <c r="F1107" s="1385"/>
      <c r="G1107" s="3"/>
      <c r="I1107" s="486"/>
    </row>
    <row r="1108" spans="1:9" ht="12.75" customHeight="1">
      <c r="A1108" s="350"/>
      <c r="B1108" s="350"/>
      <c r="C1108" s="350"/>
      <c r="D1108" s="1385"/>
      <c r="E1108" s="1385"/>
      <c r="F1108" s="1385"/>
      <c r="G1108" s="3"/>
      <c r="I1108" s="486"/>
    </row>
    <row r="1109" spans="1:9" ht="12.75" customHeight="1">
      <c r="A1109" s="1379" t="s">
        <v>1792</v>
      </c>
      <c r="B1109" s="1379"/>
      <c r="C1109" s="1379"/>
      <c r="D1109" s="1379"/>
      <c r="E1109" s="1379"/>
      <c r="F1109" s="1379"/>
      <c r="G1109" s="1379"/>
      <c r="H1109" s="1018"/>
      <c r="I1109" s="1142"/>
    </row>
    <row r="1110" spans="1:9" ht="12.75" customHeight="1">
      <c r="A1110" s="118"/>
      <c r="B1110" s="118"/>
      <c r="C1110" s="350"/>
      <c r="D1110" s="3"/>
      <c r="E1110" s="3"/>
      <c r="F1110" s="3"/>
      <c r="G1110" s="3"/>
      <c r="I1110" s="486"/>
    </row>
    <row r="1111" spans="1:9" ht="12.75" hidden="1" customHeight="1">
      <c r="A1111" s="118"/>
      <c r="B1111" s="398"/>
      <c r="D1111" s="1384" t="s">
        <v>1269</v>
      </c>
      <c r="E1111" s="1384"/>
      <c r="F1111" s="1384"/>
      <c r="G1111" s="3"/>
      <c r="I1111" s="486"/>
    </row>
    <row r="1112" spans="1:9" ht="12.75" hidden="1" customHeight="1">
      <c r="A1112" s="118"/>
      <c r="B1112" s="481" t="s">
        <v>307</v>
      </c>
      <c r="D1112" s="1383" t="s">
        <v>1268</v>
      </c>
      <c r="E1112" s="1383"/>
      <c r="F1112" s="1383"/>
      <c r="G1112" s="3"/>
      <c r="I1112" s="486"/>
    </row>
    <row r="1113" spans="1:9" ht="12.75" hidden="1" customHeight="1">
      <c r="A1113" s="118"/>
      <c r="B1113" s="398"/>
      <c r="D1113" s="1383" t="s">
        <v>1793</v>
      </c>
      <c r="E1113" s="1383"/>
      <c r="F1113" s="1383"/>
      <c r="G1113" s="3"/>
      <c r="I1113" s="486"/>
    </row>
    <row r="1114" spans="1:9" ht="12.75" hidden="1" customHeight="1">
      <c r="A1114" s="118"/>
      <c r="B1114" s="398"/>
      <c r="D1114" s="440"/>
      <c r="E1114" s="440"/>
      <c r="F1114" s="440"/>
      <c r="G1114" s="3"/>
      <c r="I1114" s="486"/>
    </row>
    <row r="1115" spans="1:9" ht="12.75" customHeight="1">
      <c r="A1115" s="118"/>
      <c r="B1115" s="118"/>
      <c r="C1115" s="350"/>
      <c r="D1115" s="1386" t="s">
        <v>1064</v>
      </c>
      <c r="E1115" s="1386"/>
      <c r="F1115" s="1386"/>
      <c r="G1115" s="3"/>
      <c r="I1115" s="486"/>
    </row>
    <row r="1116" spans="1:9" ht="12.75" customHeight="1">
      <c r="A1116" s="316"/>
      <c r="B1116" s="316"/>
      <c r="C1116" s="316"/>
      <c r="D1116" s="1375" t="s">
        <v>2193</v>
      </c>
      <c r="E1116" s="1375"/>
      <c r="F1116" s="1375"/>
      <c r="G1116" s="98"/>
      <c r="I1116" s="486"/>
    </row>
    <row r="1117" spans="1:9" ht="12.75" customHeight="1">
      <c r="A1117" s="175"/>
      <c r="B1117" s="481" t="s">
        <v>2825</v>
      </c>
      <c r="C1117" s="350"/>
      <c r="D1117" s="1375" t="s">
        <v>983</v>
      </c>
      <c r="E1117" s="1375"/>
      <c r="F1117" s="1375"/>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379" t="s">
        <v>2604</v>
      </c>
      <c r="B1120" s="1379"/>
      <c r="C1120" s="1379"/>
      <c r="D1120" s="1379"/>
      <c r="E1120" s="1379"/>
      <c r="F1120" s="1379"/>
      <c r="G1120" s="1379"/>
      <c r="H1120" s="1018"/>
      <c r="I1120" s="1142"/>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2825</v>
      </c>
      <c r="C1125" s="398"/>
      <c r="D1125" s="1390" t="s">
        <v>2654</v>
      </c>
      <c r="E1125" s="1390"/>
      <c r="F1125" s="1390"/>
      <c r="I1125" s="486"/>
    </row>
    <row r="1126" spans="1:9">
      <c r="A1126" s="398"/>
      <c r="B1126" s="398"/>
      <c r="C1126" s="398"/>
      <c r="D1126" s="1390"/>
      <c r="E1126" s="1390"/>
      <c r="F1126" s="1390"/>
      <c r="I1126" s="486"/>
    </row>
    <row r="1127" spans="1:9">
      <c r="A1127" s="398"/>
      <c r="B1127" s="398"/>
      <c r="C1127" s="398"/>
      <c r="D1127" s="1390"/>
      <c r="E1127" s="1390"/>
      <c r="F1127" s="1390"/>
      <c r="I1127" s="486"/>
    </row>
    <row r="1128" spans="1:9">
      <c r="A1128" s="398"/>
      <c r="B1128" s="398"/>
      <c r="C1128" s="398"/>
      <c r="D1128" s="1390"/>
      <c r="E1128" s="1390"/>
      <c r="F1128" s="1390"/>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2608</v>
      </c>
      <c r="I1131" s="486"/>
    </row>
    <row r="1132" spans="1:9">
      <c r="A1132" s="398"/>
      <c r="B1132" s="398"/>
      <c r="C1132" s="398"/>
      <c r="I1132" s="486"/>
    </row>
    <row r="1133" spans="1:9">
      <c r="A1133" s="398"/>
      <c r="B1133" s="481" t="s">
        <v>2824</v>
      </c>
      <c r="C1133" s="398"/>
      <c r="D1133" s="398" t="s">
        <v>1794</v>
      </c>
      <c r="I1133" s="486"/>
    </row>
    <row r="1134" spans="1:9">
      <c r="A1134" s="398"/>
      <c r="B1134" s="398"/>
      <c r="C1134" s="398"/>
      <c r="I1134" s="486"/>
    </row>
    <row r="1135" spans="1:9">
      <c r="A1135" s="398"/>
      <c r="B1135" s="481" t="s">
        <v>2824</v>
      </c>
      <c r="C1135" s="398"/>
      <c r="D1135" s="1390" t="s">
        <v>1796</v>
      </c>
      <c r="E1135" s="1390"/>
      <c r="F1135" s="1390"/>
      <c r="I1135" s="486"/>
    </row>
    <row r="1136" spans="1:9">
      <c r="A1136" s="398"/>
      <c r="B1136" s="398"/>
      <c r="C1136" s="398"/>
      <c r="D1136" s="1390"/>
      <c r="E1136" s="1390"/>
      <c r="F1136" s="1390"/>
      <c r="I1136" s="486"/>
    </row>
    <row r="1137" spans="1:9">
      <c r="A1137" s="398"/>
      <c r="B1137" s="398"/>
      <c r="C1137" s="398"/>
      <c r="D1137" s="1390"/>
      <c r="E1137" s="1390"/>
      <c r="F1137" s="1390"/>
      <c r="I1137" s="486"/>
    </row>
    <row r="1138" spans="1:9">
      <c r="A1138" s="398"/>
      <c r="B1138" s="398"/>
      <c r="C1138" s="398"/>
      <c r="D1138" s="1390"/>
      <c r="E1138" s="1390"/>
      <c r="F1138" s="1390"/>
      <c r="I1138" s="486"/>
    </row>
    <row r="1139" spans="1:9">
      <c r="A1139" s="398"/>
      <c r="B1139" s="398"/>
      <c r="C1139" s="398"/>
      <c r="D1139" s="1390"/>
      <c r="E1139" s="1390"/>
      <c r="F1139" s="1390"/>
      <c r="I1139" s="486"/>
    </row>
    <row r="1140" spans="1:9">
      <c r="A1140" s="398"/>
      <c r="B1140" s="398"/>
      <c r="C1140" s="398"/>
      <c r="I1140" s="486"/>
    </row>
    <row r="1141" spans="1:9">
      <c r="A1141" s="1379" t="s">
        <v>1797</v>
      </c>
      <c r="B1141" s="1379"/>
      <c r="C1141" s="1379"/>
      <c r="D1141" s="1379"/>
      <c r="E1141" s="1379"/>
      <c r="F1141" s="1379"/>
      <c r="G1141" s="1379"/>
      <c r="H1141" s="1018"/>
      <c r="I1141" s="1142"/>
    </row>
    <row r="1142" spans="1:9">
      <c r="A1142" s="398"/>
      <c r="B1142" s="398"/>
      <c r="C1142" s="398"/>
      <c r="I1142" s="486"/>
    </row>
    <row r="1143" spans="1:9">
      <c r="A1143" s="398"/>
      <c r="B1143" s="398"/>
      <c r="C1143" s="398"/>
      <c r="I1143" s="486"/>
    </row>
    <row r="1144" spans="1:9">
      <c r="A1144" s="398"/>
      <c r="B1144" s="481" t="s">
        <v>2824</v>
      </c>
      <c r="C1144" s="398"/>
      <c r="D1144" s="523" t="s">
        <v>1800</v>
      </c>
      <c r="I1144" s="486"/>
    </row>
    <row r="1145" spans="1:9">
      <c r="A1145" s="398"/>
      <c r="B1145" s="398"/>
      <c r="C1145" s="398"/>
      <c r="D1145" s="523" t="s">
        <v>2617</v>
      </c>
      <c r="I1145" s="486"/>
    </row>
    <row r="1146" spans="1:9">
      <c r="A1146" s="398"/>
      <c r="B1146" s="398"/>
      <c r="C1146" s="398"/>
      <c r="D1146" s="523"/>
      <c r="I1146" s="486"/>
    </row>
    <row r="1147" spans="1:9">
      <c r="A1147" s="398"/>
      <c r="B1147" s="481" t="s">
        <v>2825</v>
      </c>
      <c r="C1147" s="398"/>
      <c r="D1147" s="1393" t="s">
        <v>2610</v>
      </c>
      <c r="E1147" s="1393"/>
      <c r="F1147" s="1393"/>
      <c r="I1147" s="486"/>
    </row>
    <row r="1148" spans="1:9">
      <c r="A1148" s="398"/>
      <c r="B1148" s="398"/>
      <c r="C1148" s="398"/>
      <c r="D1148" s="1393"/>
      <c r="E1148" s="1393"/>
      <c r="F1148" s="1393"/>
      <c r="I1148" s="486"/>
    </row>
    <row r="1149" spans="1:9">
      <c r="A1149" s="398"/>
      <c r="B1149" s="398"/>
      <c r="C1149" s="398"/>
      <c r="D1149" s="523" t="s">
        <v>2609</v>
      </c>
      <c r="I1149" s="486"/>
    </row>
    <row r="1150" spans="1:9">
      <c r="A1150" s="398"/>
      <c r="B1150" s="398"/>
      <c r="C1150" s="398"/>
      <c r="D1150" s="523"/>
      <c r="I1150" s="486"/>
    </row>
    <row r="1151" spans="1:9">
      <c r="A1151" s="398"/>
      <c r="B1151" s="481" t="s">
        <v>2825</v>
      </c>
      <c r="C1151" s="398"/>
      <c r="D1151" s="119" t="s">
        <v>2618</v>
      </c>
      <c r="I1151" s="486"/>
    </row>
    <row r="1152" spans="1:9">
      <c r="A1152" s="398"/>
      <c r="B1152" s="398"/>
      <c r="C1152" s="398"/>
      <c r="D1152" s="1354" t="s">
        <v>2620</v>
      </c>
      <c r="E1152" s="1354"/>
      <c r="F1152" s="1354"/>
      <c r="I1152" s="486"/>
    </row>
    <row r="1153" spans="1:9">
      <c r="A1153" s="398"/>
      <c r="B1153" s="398"/>
      <c r="C1153" s="398"/>
      <c r="D1153" s="1354"/>
      <c r="E1153" s="1354"/>
      <c r="F1153" s="1354"/>
      <c r="I1153" s="486"/>
    </row>
    <row r="1154" spans="1:9">
      <c r="A1154" s="398"/>
      <c r="B1154" s="398"/>
      <c r="C1154" s="398"/>
      <c r="D1154" s="1354"/>
      <c r="E1154" s="1354"/>
      <c r="F1154" s="1354"/>
      <c r="I1154" s="486"/>
    </row>
    <row r="1155" spans="1:9">
      <c r="A1155" s="398"/>
      <c r="B1155" s="398"/>
      <c r="C1155" s="398"/>
      <c r="D1155" s="1354"/>
      <c r="E1155" s="1354"/>
      <c r="F1155" s="1354"/>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1798</v>
      </c>
      <c r="I1158" s="486"/>
    </row>
    <row r="1159" spans="1:9">
      <c r="A1159" s="398"/>
      <c r="B1159" s="481" t="s">
        <v>2825</v>
      </c>
      <c r="C1159" s="398"/>
      <c r="D1159" s="1389" t="s">
        <v>1799</v>
      </c>
      <c r="E1159" s="1389"/>
      <c r="F1159" s="1389"/>
      <c r="I1159" s="486"/>
    </row>
    <row r="1160" spans="1:9">
      <c r="A1160" s="398"/>
      <c r="B1160" s="398"/>
      <c r="C1160" s="398"/>
      <c r="D1160" s="1389"/>
      <c r="E1160" s="1389"/>
      <c r="F1160" s="1389"/>
      <c r="I1160" s="486"/>
    </row>
    <row r="1161" spans="1:9">
      <c r="A1161" s="398"/>
      <c r="B1161" s="398"/>
      <c r="C1161" s="398"/>
      <c r="D1161" s="1389"/>
      <c r="E1161" s="1389"/>
      <c r="F1161" s="1389"/>
      <c r="I1161" s="486"/>
    </row>
    <row r="1162" spans="1:9">
      <c r="A1162" s="398"/>
      <c r="B1162" s="398"/>
      <c r="C1162" s="398"/>
      <c r="D1162" s="1389"/>
      <c r="E1162" s="1389"/>
      <c r="F1162" s="1389"/>
      <c r="I1162" s="486"/>
    </row>
    <row r="1163" spans="1:9">
      <c r="A1163" s="398"/>
      <c r="B1163" s="398"/>
      <c r="C1163" s="398"/>
      <c r="D1163" s="1389"/>
      <c r="E1163" s="1389"/>
      <c r="F1163" s="1389"/>
      <c r="I1163" s="486"/>
    </row>
    <row r="1164" spans="1:9">
      <c r="A1164" s="398"/>
      <c r="B1164" s="398"/>
      <c r="C1164" s="398"/>
      <c r="D1164" s="523" t="s">
        <v>2621</v>
      </c>
      <c r="I1164" s="486"/>
    </row>
    <row r="1165" spans="1:9">
      <c r="A1165" s="398"/>
      <c r="B1165" s="398"/>
      <c r="C1165" s="398"/>
      <c r="I1165" s="486"/>
    </row>
    <row r="1166" spans="1:9">
      <c r="A1166" s="398"/>
      <c r="B1166" s="481" t="s">
        <v>2825</v>
      </c>
      <c r="C1166" s="398"/>
      <c r="D1166" s="1368" t="s">
        <v>2214</v>
      </c>
      <c r="E1166" s="1368"/>
      <c r="F1166" s="1368"/>
      <c r="I1166" s="486"/>
    </row>
    <row r="1167" spans="1:9">
      <c r="A1167" s="398"/>
      <c r="B1167" s="398"/>
      <c r="C1167" s="398"/>
      <c r="D1167" s="1368"/>
      <c r="E1167" s="1368"/>
      <c r="F1167" s="1368"/>
      <c r="I1167" s="486"/>
    </row>
    <row r="1168" spans="1:9">
      <c r="A1168" s="398"/>
      <c r="B1168" s="398"/>
      <c r="C1168" s="398"/>
      <c r="D1168" s="1368"/>
      <c r="E1168" s="1368"/>
      <c r="F1168" s="1368"/>
      <c r="I1168" s="486"/>
    </row>
    <row r="1169" spans="1:9">
      <c r="A1169" s="398"/>
      <c r="B1169" s="398"/>
      <c r="C1169" s="398"/>
      <c r="I1169" s="486"/>
    </row>
    <row r="1170" spans="1:9">
      <c r="A1170" s="1379" t="s">
        <v>1801</v>
      </c>
      <c r="B1170" s="1379"/>
      <c r="C1170" s="1379"/>
      <c r="D1170" s="1379"/>
      <c r="E1170" s="1379"/>
      <c r="F1170" s="1379"/>
      <c r="G1170" s="1379"/>
      <c r="H1170" s="1018"/>
      <c r="I1170" s="1142"/>
    </row>
    <row r="1171" spans="1:9">
      <c r="A1171" s="398"/>
      <c r="B1171" s="398"/>
      <c r="C1171" s="398"/>
      <c r="I1171" s="486"/>
    </row>
    <row r="1172" spans="1:9">
      <c r="A1172" s="398"/>
      <c r="B1172" s="398"/>
      <c r="C1172" s="398"/>
      <c r="I1172" s="486"/>
    </row>
    <row r="1173" spans="1:9" ht="12.75" customHeight="1">
      <c r="A1173" s="398"/>
      <c r="B1173" s="481" t="s">
        <v>2825</v>
      </c>
      <c r="C1173" s="398"/>
      <c r="D1173" s="1391" t="s">
        <v>1895</v>
      </c>
      <c r="E1173" s="1391"/>
      <c r="F1173" s="1391"/>
      <c r="I1173" s="486"/>
    </row>
    <row r="1174" spans="1:9">
      <c r="A1174" s="398"/>
      <c r="B1174" s="398"/>
      <c r="C1174" s="398"/>
      <c r="D1174" s="1391"/>
      <c r="E1174" s="1391"/>
      <c r="F1174" s="1391"/>
      <c r="I1174" s="486"/>
    </row>
    <row r="1175" spans="1:9">
      <c r="A1175" s="398"/>
      <c r="B1175" s="398"/>
      <c r="C1175" s="398"/>
      <c r="D1175" s="1392" t="s">
        <v>2625</v>
      </c>
      <c r="E1175" s="1354"/>
      <c r="F1175" s="1354"/>
      <c r="I1175" s="486"/>
    </row>
    <row r="1176" spans="1:9">
      <c r="A1176" s="398"/>
      <c r="B1176" s="398"/>
      <c r="C1176" s="398"/>
      <c r="D1176" s="523"/>
      <c r="I1176" s="486"/>
    </row>
    <row r="1177" spans="1:9">
      <c r="A1177" s="398"/>
      <c r="B1177" s="481" t="s">
        <v>2825</v>
      </c>
      <c r="C1177" s="398"/>
      <c r="D1177" s="1389" t="s">
        <v>2573</v>
      </c>
      <c r="E1177" s="1389"/>
      <c r="F1177" s="1389"/>
      <c r="I1177" s="486"/>
    </row>
    <row r="1178" spans="1:9">
      <c r="A1178" s="398"/>
      <c r="B1178" s="398"/>
      <c r="C1178" s="398"/>
      <c r="D1178" s="1389"/>
      <c r="E1178" s="1389"/>
      <c r="F1178" s="1389"/>
      <c r="I1178" s="486"/>
    </row>
    <row r="1179" spans="1:9">
      <c r="A1179" s="398"/>
      <c r="B1179" s="398"/>
      <c r="C1179" s="398"/>
      <c r="D1179" s="1389"/>
      <c r="E1179" s="1389"/>
      <c r="F1179" s="1389"/>
      <c r="I1179" s="486"/>
    </row>
    <row r="1180" spans="1:9">
      <c r="A1180" s="398"/>
      <c r="B1180" s="398"/>
      <c r="C1180" s="398"/>
      <c r="D1180" s="523"/>
      <c r="I1180" s="486"/>
    </row>
    <row r="1181" spans="1:9">
      <c r="A1181" s="398"/>
      <c r="B1181" s="481" t="s">
        <v>2825</v>
      </c>
      <c r="C1181" s="398"/>
      <c r="D1181" s="1389" t="s">
        <v>2592</v>
      </c>
      <c r="E1181" s="1389"/>
      <c r="F1181" s="1389"/>
      <c r="I1181" s="486"/>
    </row>
    <row r="1182" spans="1:9">
      <c r="A1182" s="398"/>
      <c r="B1182" s="398"/>
      <c r="C1182" s="398"/>
      <c r="D1182" s="1389"/>
      <c r="E1182" s="1389"/>
      <c r="F1182" s="1389"/>
      <c r="I1182" s="486"/>
    </row>
    <row r="1183" spans="1:9">
      <c r="A1183" s="398"/>
      <c r="B1183" s="398"/>
      <c r="C1183" s="398"/>
      <c r="D1183" s="1389"/>
      <c r="E1183" s="1389"/>
      <c r="F1183" s="1389"/>
      <c r="I1183" s="486"/>
    </row>
    <row r="1184" spans="1:9">
      <c r="A1184" s="398"/>
      <c r="B1184" s="398"/>
      <c r="C1184" s="398"/>
      <c r="D1184" s="1389"/>
      <c r="E1184" s="1389"/>
      <c r="F1184" s="1389"/>
      <c r="I1184" s="486"/>
    </row>
    <row r="1185" spans="1:9">
      <c r="A1185" s="398"/>
      <c r="B1185" s="398"/>
      <c r="C1185" s="398"/>
      <c r="D1185" s="1389"/>
      <c r="E1185" s="1389"/>
      <c r="F1185" s="1389"/>
      <c r="I1185" s="486"/>
    </row>
    <row r="1186" spans="1:9">
      <c r="A1186" s="398"/>
      <c r="B1186" s="398"/>
      <c r="C1186" s="398"/>
      <c r="D1186" s="523"/>
      <c r="I1186" s="476"/>
    </row>
    <row r="1187" spans="1:9">
      <c r="A1187" s="398"/>
      <c r="B1187" s="481" t="s">
        <v>2825</v>
      </c>
      <c r="C1187" s="398"/>
      <c r="D1187" s="1389" t="s">
        <v>1802</v>
      </c>
      <c r="E1187" s="1389"/>
      <c r="F1187" s="1389"/>
      <c r="I1187" s="486"/>
    </row>
    <row r="1188" spans="1:9">
      <c r="A1188" s="398"/>
      <c r="B1188" s="398"/>
      <c r="C1188" s="398"/>
      <c r="D1188" s="1389"/>
      <c r="E1188" s="1389"/>
      <c r="F1188" s="1389"/>
      <c r="I1188" s="486"/>
    </row>
    <row r="1189" spans="1:9">
      <c r="A1189" s="398"/>
      <c r="B1189" s="398"/>
      <c r="C1189" s="398"/>
      <c r="D1189" s="1389"/>
      <c r="E1189" s="1389"/>
      <c r="F1189" s="1389"/>
      <c r="I1189" s="486"/>
    </row>
    <row r="1190" spans="1:9">
      <c r="A1190" s="398"/>
      <c r="B1190" s="398"/>
      <c r="C1190" s="398"/>
      <c r="D1190" s="523"/>
      <c r="I1190" s="486"/>
    </row>
    <row r="1191" spans="1:9">
      <c r="A1191" s="398"/>
      <c r="B1191" s="481" t="s">
        <v>2825</v>
      </c>
      <c r="C1191" s="398"/>
      <c r="D1191" s="1359" t="s">
        <v>1854</v>
      </c>
      <c r="E1191" s="1359"/>
      <c r="F1191" s="1359"/>
      <c r="I1191" s="486"/>
    </row>
    <row r="1192" spans="1:9">
      <c r="A1192" s="398"/>
      <c r="B1192" s="398"/>
      <c r="C1192" s="398"/>
      <c r="D1192" s="1359"/>
      <c r="E1192" s="1359"/>
      <c r="F1192" s="1359"/>
      <c r="I1192" s="486"/>
    </row>
    <row r="1193" spans="1:9">
      <c r="A1193" s="398"/>
      <c r="B1193" s="398"/>
      <c r="C1193" s="398"/>
      <c r="D1193" s="1359"/>
      <c r="E1193" s="1359"/>
      <c r="F1193" s="1359"/>
      <c r="I1193" s="486"/>
    </row>
    <row r="1194" spans="1:9">
      <c r="A1194" s="398"/>
      <c r="B1194" s="398"/>
      <c r="C1194" s="398"/>
      <c r="D1194" s="970"/>
      <c r="E1194" s="970"/>
      <c r="F1194" s="970"/>
      <c r="I1194" s="486"/>
    </row>
    <row r="1195" spans="1:9" ht="15.75" customHeight="1">
      <c r="A1195" s="398"/>
      <c r="B1195" s="481" t="s">
        <v>2825</v>
      </c>
      <c r="C1195" s="398"/>
      <c r="D1195" s="1354" t="s">
        <v>1855</v>
      </c>
      <c r="E1195" s="1354"/>
      <c r="F1195" s="1354"/>
      <c r="I1195" s="486"/>
    </row>
    <row r="1196" spans="1:9">
      <c r="A1196" s="398"/>
      <c r="B1196" s="398"/>
      <c r="C1196" s="398"/>
      <c r="D1196" s="1354"/>
      <c r="E1196" s="1354"/>
      <c r="F1196" s="1354"/>
      <c r="I1196" s="486"/>
    </row>
    <row r="1197" spans="1:9">
      <c r="A1197" s="398"/>
      <c r="B1197" s="398"/>
      <c r="C1197" s="398"/>
      <c r="D1197" s="1354"/>
      <c r="E1197" s="1354"/>
      <c r="F1197" s="1354"/>
      <c r="I1197" s="486"/>
    </row>
    <row r="1198" spans="1:9">
      <c r="A1198" s="398"/>
      <c r="B1198" s="398"/>
      <c r="C1198" s="398"/>
      <c r="D1198" s="1354"/>
      <c r="E1198" s="1354"/>
      <c r="F1198" s="1354"/>
      <c r="I1198" s="486"/>
    </row>
    <row r="1199" spans="1:9">
      <c r="A1199" s="398"/>
      <c r="B1199" s="398"/>
      <c r="C1199" s="398"/>
      <c r="D1199" s="970"/>
      <c r="E1199" s="970"/>
      <c r="F1199" s="970"/>
      <c r="I1199" s="486"/>
    </row>
    <row r="1200" spans="1:9">
      <c r="A1200" s="398"/>
      <c r="B1200" s="481" t="s">
        <v>2825</v>
      </c>
      <c r="C1200" s="398"/>
      <c r="D1200" s="1359" t="s">
        <v>2602</v>
      </c>
      <c r="E1200" s="1359"/>
      <c r="F1200" s="1359"/>
      <c r="I1200" s="486"/>
    </row>
    <row r="1201" spans="1:9">
      <c r="A1201" s="398"/>
      <c r="B1201" s="398"/>
      <c r="C1201" s="398"/>
      <c r="D1201" s="1359"/>
      <c r="E1201" s="1359"/>
      <c r="F1201" s="1359"/>
      <c r="I1201" s="486"/>
    </row>
    <row r="1202" spans="1:9">
      <c r="A1202" s="398"/>
      <c r="B1202" s="398"/>
      <c r="C1202" s="398"/>
      <c r="D1202" s="1359"/>
      <c r="E1202" s="1359"/>
      <c r="F1202" s="1359"/>
      <c r="I1202" s="486"/>
    </row>
    <row r="1203" spans="1:9">
      <c r="A1203" s="398"/>
      <c r="B1203" s="398"/>
      <c r="C1203" s="398"/>
      <c r="D1203" s="1359"/>
      <c r="E1203" s="1359"/>
      <c r="F1203" s="1359"/>
      <c r="I1203" s="486"/>
    </row>
    <row r="1204" spans="1:9">
      <c r="A1204" s="398"/>
      <c r="B1204" s="398"/>
      <c r="C1204" s="398"/>
      <c r="D1204" s="1359"/>
      <c r="E1204" s="1359"/>
      <c r="F1204" s="1359"/>
      <c r="I1204" s="486"/>
    </row>
    <row r="1205" spans="1:9">
      <c r="A1205" s="398"/>
      <c r="B1205" s="398"/>
      <c r="C1205" s="398"/>
      <c r="D1205" s="1359"/>
      <c r="E1205" s="1359"/>
      <c r="F1205" s="1359"/>
      <c r="I1205" s="486"/>
    </row>
    <row r="1206" spans="1:9">
      <c r="A1206" s="398"/>
      <c r="B1206" s="398"/>
      <c r="C1206" s="398"/>
      <c r="D1206" s="970"/>
      <c r="E1206" s="970"/>
      <c r="F1206" s="970"/>
      <c r="I1206" s="486"/>
    </row>
    <row r="1207" spans="1:9">
      <c r="A1207" s="398"/>
      <c r="B1207" s="481" t="s">
        <v>2825</v>
      </c>
      <c r="C1207" s="398"/>
      <c r="D1207" s="1390" t="s">
        <v>2574</v>
      </c>
      <c r="E1207" s="1390"/>
      <c r="F1207" s="1390"/>
      <c r="I1207" s="1148"/>
    </row>
    <row r="1208" spans="1:9">
      <c r="A1208" s="398"/>
      <c r="B1208" s="398"/>
      <c r="C1208" s="398"/>
      <c r="D1208" s="1390"/>
      <c r="E1208" s="1390"/>
      <c r="F1208" s="1390"/>
      <c r="I1208" s="486"/>
    </row>
    <row r="1209" spans="1:9">
      <c r="A1209" s="398"/>
      <c r="B1209" s="398"/>
      <c r="C1209" s="398"/>
      <c r="D1209" s="1390"/>
      <c r="E1209" s="1390"/>
      <c r="F1209" s="1390"/>
    </row>
    <row r="1210" spans="1:9">
      <c r="A1210" s="398"/>
      <c r="B1210" s="398"/>
      <c r="C1210" s="398"/>
      <c r="D1210" s="1390"/>
      <c r="E1210" s="1390"/>
      <c r="F1210" s="1390"/>
    </row>
    <row r="1211" spans="1:9">
      <c r="A1211" s="398"/>
      <c r="B1211" s="398"/>
      <c r="C1211" s="398"/>
      <c r="D1211" s="1390"/>
      <c r="E1211" s="1390"/>
      <c r="F1211" s="1390"/>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396"/>
      <c r="H1619" s="1396"/>
      <c r="I1619" s="1396"/>
    </row>
    <row r="1620" spans="7:9"/>
    <row r="1621" spans="7:9"/>
    <row r="1622" spans="7:9"/>
  </sheetData>
  <sheetProtection algorithmName="SHA-512" hashValue="kwINs/GgH9bACorPVwmqDjqgbjg7DDtXO3sKP+xnob940aQQni+YS/M6LAWJXJXoTKb3QhYmEheQ6qB33BOf8Q==" saltValue="KUyqQo7Hnv3vZdgOH/lSTA=="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3">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xr:uid="{00000000-0002-0000-0300-000001000000}">
      <formula1>"(select one),Need to Provide,Provided,Not Applicable"</formula1>
    </dataValidation>
    <dataValidation type="list" allowBlank="1" showInputMessage="1" showErrorMessage="1" sqref="B207 B238 B633 B657 B1007 B966 B995 B988 B984 B1040 B1038" xr:uid="{7F3BD511-9C71-4FBA-B216-44BFA05A881F}">
      <formula1>$I$2:$I$5</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1026" zoomScale="85" zoomScaleNormal="85" workbookViewId="0">
      <selection activeCell="AA598" sqref="AA598:AK598"/>
    </sheetView>
  </sheetViews>
  <sheetFormatPr defaultColWidth="0" defaultRowHeight="0" customHeight="1" zeroHeight="1"/>
  <cols>
    <col min="1" max="45" width="2.6640625" customWidth="1"/>
    <col min="46" max="46" width="12.44140625" customWidth="1"/>
    <col min="47" max="185" width="0" hidden="1" customWidth="1"/>
    <col min="186" max="16384" width="12.44140625" hidden="1"/>
  </cols>
  <sheetData>
    <row r="1" spans="1:58" ht="12.9" customHeight="1">
      <c r="J1" s="100"/>
      <c r="AS1" s="1021">
        <v>4</v>
      </c>
      <c r="BD1" s="3" t="s">
        <v>2419</v>
      </c>
      <c r="BE1" s="3"/>
      <c r="BF1" s="3"/>
    </row>
    <row r="2" spans="1:58" ht="12.9" customHeight="1">
      <c r="BD2" s="3" t="s">
        <v>2420</v>
      </c>
      <c r="BE2" s="3" t="s">
        <v>2421</v>
      </c>
      <c r="BF2" s="3" t="s">
        <v>2422</v>
      </c>
    </row>
    <row r="3" spans="1:58" ht="12.9" customHeight="1">
      <c r="BD3" s="3" t="s">
        <v>2514</v>
      </c>
      <c r="BE3" t="str">
        <f>AC220</f>
        <v>Bay Area ((Alameda, Contra Costa, Marin, San Francisco, San Mateo, Santa Clara, and Santa Cruz Counties)</v>
      </c>
    </row>
    <row r="4" spans="1:58" ht="12.9" customHeight="1">
      <c r="BD4" s="3" t="s">
        <v>2429</v>
      </c>
      <c r="BE4" s="1175"/>
    </row>
    <row r="5" spans="1:58" ht="12.9" customHeight="1">
      <c r="BD5" s="3" t="s">
        <v>2430</v>
      </c>
      <c r="BE5">
        <f>SUMIF($AC$726:$AC$760,"&lt;=20%",$G$726:G$760)</f>
        <v>0</v>
      </c>
      <c r="BF5" s="3" t="s">
        <v>2435</v>
      </c>
    </row>
    <row r="6" spans="1:58" ht="12.9" customHeight="1">
      <c r="BD6" s="3" t="s">
        <v>2431</v>
      </c>
      <c r="BE6" s="1178">
        <f>SUMIF($AC$726:$AC$760,"&lt;=25%",$G$726:G$760)-SUM($BE$5:BE5)</f>
        <v>0</v>
      </c>
    </row>
    <row r="7" spans="1:58" ht="12.9" customHeight="1">
      <c r="BD7" s="1176" t="s">
        <v>2423</v>
      </c>
      <c r="BE7" s="1178">
        <f>SUMIF($AC$726:$AC$760,"&lt;=30%",$G$726:G$760)-SUM($BE$5:BE6)</f>
        <v>13</v>
      </c>
    </row>
    <row r="8" spans="1:58" ht="26.25" customHeight="1">
      <c r="A8" s="1564" t="s">
        <v>100</v>
      </c>
      <c r="B8" s="1564"/>
      <c r="C8" s="1564"/>
      <c r="D8" s="1564"/>
      <c r="E8" s="1564"/>
      <c r="F8" s="1564"/>
      <c r="G8" s="1564"/>
      <c r="H8" s="1564"/>
      <c r="I8" s="1564"/>
      <c r="J8" s="1564"/>
      <c r="K8" s="1564"/>
      <c r="L8" s="1564"/>
      <c r="M8" s="1564"/>
      <c r="N8" s="1564"/>
      <c r="O8" s="1564"/>
      <c r="P8" s="1564"/>
      <c r="Q8" s="1564"/>
      <c r="R8" s="1564"/>
      <c r="S8" s="1564"/>
      <c r="T8" s="1564"/>
      <c r="U8" s="1564"/>
      <c r="V8" s="1564"/>
      <c r="W8" s="1564"/>
      <c r="X8" s="1564"/>
      <c r="Y8" s="1564"/>
      <c r="Z8" s="1564"/>
      <c r="AA8" s="1564"/>
      <c r="AB8" s="1564"/>
      <c r="AC8" s="1564"/>
      <c r="AD8" s="1564"/>
      <c r="AE8" s="1564"/>
      <c r="AF8" s="1564"/>
      <c r="AG8" s="1564"/>
      <c r="AH8" s="1564"/>
      <c r="AI8" s="1564"/>
      <c r="AJ8" s="1564"/>
      <c r="AK8" s="1564"/>
      <c r="AL8" s="1564"/>
      <c r="AM8" s="1564"/>
      <c r="AN8" s="1564"/>
      <c r="AO8" s="1564"/>
      <c r="AP8" s="1564"/>
      <c r="AQ8" s="1564"/>
      <c r="AR8" s="1564"/>
      <c r="AS8" s="1564"/>
      <c r="AT8" s="1564"/>
      <c r="AU8" s="889"/>
      <c r="AV8" s="889"/>
      <c r="AW8" s="889"/>
      <c r="AX8" s="889"/>
      <c r="AY8" s="889"/>
      <c r="BD8" s="3" t="s">
        <v>2432</v>
      </c>
      <c r="BE8" s="1178">
        <f>SUMIF($AC$726:$AC$760,"&lt;=35%",$G$726:G$760)-SUM($BE$5:BE7)</f>
        <v>0</v>
      </c>
    </row>
    <row r="9" spans="1:58" ht="12.9" customHeight="1">
      <c r="A9" s="1428" t="s">
        <v>2025</v>
      </c>
      <c r="B9" s="1428"/>
      <c r="C9" s="1428"/>
      <c r="D9" s="1428"/>
      <c r="E9" s="1428"/>
      <c r="F9" s="1428"/>
      <c r="G9" s="1428"/>
      <c r="H9" s="1428"/>
      <c r="I9" s="1428"/>
      <c r="J9" s="1428"/>
      <c r="K9" s="1428"/>
      <c r="L9" s="1428"/>
      <c r="M9" s="1428"/>
      <c r="N9" s="1428"/>
      <c r="O9" s="1428"/>
      <c r="P9" s="1428"/>
      <c r="Q9" s="1428"/>
      <c r="R9" s="1428"/>
      <c r="S9" s="1428"/>
      <c r="T9" s="1428"/>
      <c r="U9" s="1428"/>
      <c r="V9" s="1428"/>
      <c r="W9" s="1428"/>
      <c r="X9" s="1428"/>
      <c r="Y9" s="1428"/>
      <c r="Z9" s="1428"/>
      <c r="AA9" s="1428"/>
      <c r="AB9" s="1428"/>
      <c r="AC9" s="1428"/>
      <c r="AD9" s="1428"/>
      <c r="AE9" s="1428"/>
      <c r="AF9" s="1428"/>
      <c r="AG9" s="1428"/>
      <c r="AH9" s="1428"/>
      <c r="AI9" s="1428"/>
      <c r="AJ9" s="1428"/>
      <c r="AK9" s="1428"/>
      <c r="AL9" s="1428"/>
      <c r="AM9" s="1428"/>
      <c r="AN9" s="1428"/>
      <c r="AO9" s="1428"/>
      <c r="AP9" s="1428"/>
      <c r="AQ9" s="1428"/>
      <c r="AR9" s="1428"/>
      <c r="AS9" s="1428"/>
      <c r="AT9" s="1428"/>
      <c r="AU9" s="13"/>
      <c r="AV9" s="13"/>
      <c r="AW9" s="13"/>
      <c r="AX9" s="13"/>
      <c r="AY9" s="13"/>
      <c r="BD9" s="1177" t="s">
        <v>2424</v>
      </c>
      <c r="BE9" s="1178">
        <f>SUMIF($AC$726:$AC$760,"&lt;=40%",$G$726:G$760)-SUM($BE$5:BE8)</f>
        <v>0</v>
      </c>
    </row>
    <row r="10" spans="1:58" ht="12.9" customHeight="1">
      <c r="A10" s="1428" t="s">
        <v>2594</v>
      </c>
      <c r="B10" s="1428"/>
      <c r="C10" s="1428"/>
      <c r="D10" s="1428"/>
      <c r="E10" s="1428"/>
      <c r="F10" s="1428"/>
      <c r="G10" s="1428"/>
      <c r="H10" s="1428"/>
      <c r="I10" s="1428"/>
      <c r="J10" s="1428"/>
      <c r="K10" s="1428"/>
      <c r="L10" s="1428"/>
      <c r="M10" s="1428"/>
      <c r="N10" s="1428"/>
      <c r="O10" s="1428"/>
      <c r="P10" s="1428"/>
      <c r="Q10" s="1428"/>
      <c r="R10" s="1428"/>
      <c r="S10" s="1428"/>
      <c r="T10" s="1428"/>
      <c r="U10" s="1428"/>
      <c r="V10" s="1428"/>
      <c r="W10" s="1428"/>
      <c r="X10" s="1428"/>
      <c r="Y10" s="1428"/>
      <c r="Z10" s="1428"/>
      <c r="AA10" s="1428"/>
      <c r="AB10" s="1428"/>
      <c r="AC10" s="1428"/>
      <c r="AD10" s="1428"/>
      <c r="AE10" s="1428"/>
      <c r="AF10" s="1428"/>
      <c r="AG10" s="1428"/>
      <c r="AH10" s="1428"/>
      <c r="AI10" s="1428"/>
      <c r="AJ10" s="1428"/>
      <c r="AK10" s="1428"/>
      <c r="AL10" s="1428"/>
      <c r="AM10" s="1428"/>
      <c r="AN10" s="1428"/>
      <c r="AO10" s="1428"/>
      <c r="AP10" s="1428"/>
      <c r="AQ10" s="1428"/>
      <c r="AR10" s="1428"/>
      <c r="AS10" s="1428"/>
      <c r="AT10" s="1428"/>
      <c r="AU10" s="13"/>
      <c r="AV10" s="13"/>
      <c r="AW10" s="13"/>
      <c r="AX10" s="13"/>
      <c r="AY10" s="13"/>
      <c r="BD10" s="3" t="s">
        <v>2433</v>
      </c>
      <c r="BE10" s="1178">
        <f>SUMIF($AC$726:$AC$760,"&lt;=45%",$G$726:G$760)-SUM($BE$5:BE9)</f>
        <v>0</v>
      </c>
    </row>
    <row r="11" spans="1:58" ht="12.9" customHeight="1">
      <c r="A11" s="1428" t="s">
        <v>2521</v>
      </c>
      <c r="B11" s="1428"/>
      <c r="C11" s="1428"/>
      <c r="D11" s="1428"/>
      <c r="E11" s="1428"/>
      <c r="F11" s="1428"/>
      <c r="G11" s="1428"/>
      <c r="H11" s="1428"/>
      <c r="I11" s="1428"/>
      <c r="J11" s="1428"/>
      <c r="K11" s="1428"/>
      <c r="L11" s="1428"/>
      <c r="M11" s="1428"/>
      <c r="N11" s="1428"/>
      <c r="O11" s="1428"/>
      <c r="P11" s="1428"/>
      <c r="Q11" s="1428"/>
      <c r="R11" s="1428"/>
      <c r="S11" s="1428"/>
      <c r="T11" s="1428"/>
      <c r="U11" s="1428"/>
      <c r="V11" s="1428"/>
      <c r="W11" s="1428"/>
      <c r="X11" s="1428"/>
      <c r="Y11" s="1428"/>
      <c r="Z11" s="1428"/>
      <c r="AA11" s="1428"/>
      <c r="AB11" s="1428"/>
      <c r="AC11" s="1428"/>
      <c r="AD11" s="1428"/>
      <c r="AE11" s="1428"/>
      <c r="AF11" s="1428"/>
      <c r="AG11" s="1428"/>
      <c r="AH11" s="1428"/>
      <c r="AI11" s="1428"/>
      <c r="AJ11" s="1428"/>
      <c r="AK11" s="1428"/>
      <c r="AL11" s="1428"/>
      <c r="AM11" s="1428"/>
      <c r="AN11" s="1428"/>
      <c r="AO11" s="1428"/>
      <c r="AP11" s="1428"/>
      <c r="AQ11" s="1428"/>
      <c r="AR11" s="1428"/>
      <c r="AS11" s="1428"/>
      <c r="AT11" s="1428"/>
      <c r="AU11" s="13"/>
      <c r="AV11" s="13"/>
      <c r="AW11" s="13"/>
      <c r="AX11" s="13"/>
      <c r="AY11" s="13"/>
      <c r="BD11" s="1176" t="s">
        <v>2425</v>
      </c>
      <c r="BE11" s="1178">
        <f>SUMIF($AC$726:$AC$760,"&lt;=50%",$G$726:G$760)-SUM($BE$5:BE10)</f>
        <v>13</v>
      </c>
    </row>
    <row r="12" spans="1:58" ht="12.9" customHeight="1">
      <c r="A12" s="1565" t="s">
        <v>2661</v>
      </c>
      <c r="B12" s="1565"/>
      <c r="C12" s="1565"/>
      <c r="D12" s="1565"/>
      <c r="E12" s="1565"/>
      <c r="F12" s="1565"/>
      <c r="G12" s="1565"/>
      <c r="H12" s="1565"/>
      <c r="I12" s="1565"/>
      <c r="J12" s="1565"/>
      <c r="K12" s="1565"/>
      <c r="L12" s="1565"/>
      <c r="M12" s="1565"/>
      <c r="N12" s="1565"/>
      <c r="O12" s="1565"/>
      <c r="P12" s="1565"/>
      <c r="Q12" s="1565"/>
      <c r="R12" s="1565"/>
      <c r="S12" s="1565"/>
      <c r="T12" s="1565"/>
      <c r="U12" s="1565"/>
      <c r="V12" s="1565"/>
      <c r="W12" s="1565"/>
      <c r="X12" s="1565"/>
      <c r="Y12" s="1565"/>
      <c r="Z12" s="1565"/>
      <c r="AA12" s="1565"/>
      <c r="AB12" s="1565"/>
      <c r="AC12" s="1565"/>
      <c r="AD12" s="1565"/>
      <c r="AE12" s="1565"/>
      <c r="AF12" s="1565"/>
      <c r="AG12" s="1565"/>
      <c r="AH12" s="1565"/>
      <c r="AI12" s="1565"/>
      <c r="AJ12" s="1565"/>
      <c r="AK12" s="1565"/>
      <c r="AL12" s="1565"/>
      <c r="AM12" s="1565"/>
      <c r="AN12" s="1565"/>
      <c r="AO12" s="1565"/>
      <c r="AP12" s="1565"/>
      <c r="AQ12" s="1565"/>
      <c r="AR12" s="1565"/>
      <c r="AS12" s="1565"/>
      <c r="AT12" s="1565"/>
      <c r="AU12" s="6"/>
      <c r="AV12" s="6"/>
      <c r="AW12" s="6"/>
      <c r="AX12" s="6"/>
      <c r="AY12" s="6"/>
      <c r="BD12" s="3" t="s">
        <v>2434</v>
      </c>
      <c r="BE12" s="1178">
        <f>SUMIF($AC$726:$AC$760,"&lt;=55%",$G$726:G$760)-SUM($BE$5:BE11)</f>
        <v>0</v>
      </c>
    </row>
    <row r="13" spans="1:58" ht="12.9" customHeight="1">
      <c r="A13" s="1352" t="s">
        <v>2026</v>
      </c>
      <c r="B13" s="1352"/>
      <c r="C13" s="1352"/>
      <c r="D13" s="1352"/>
      <c r="E13" s="1352"/>
      <c r="F13" s="1352"/>
      <c r="G13" s="1352"/>
      <c r="H13" s="1352"/>
      <c r="I13" s="1352"/>
      <c r="J13" s="1352"/>
      <c r="K13" s="1352"/>
      <c r="L13" s="1352"/>
      <c r="M13" s="1352"/>
      <c r="N13" s="1352"/>
      <c r="O13" s="1352"/>
      <c r="P13" s="1352"/>
      <c r="Q13" s="1352"/>
      <c r="R13" s="1352"/>
      <c r="S13" s="1352"/>
      <c r="T13" s="1352"/>
      <c r="U13" s="1352"/>
      <c r="V13" s="1352"/>
      <c r="W13" s="1352"/>
      <c r="X13" s="1352"/>
      <c r="Y13" s="1352"/>
      <c r="Z13" s="1352"/>
      <c r="AA13" s="1352"/>
      <c r="AB13" s="1352"/>
      <c r="AC13" s="1352"/>
      <c r="AD13" s="1352"/>
      <c r="AE13" s="1352"/>
      <c r="AF13" s="1352"/>
      <c r="AG13" s="1352"/>
      <c r="AH13" s="1352"/>
      <c r="AI13" s="1352"/>
      <c r="AJ13" s="1352"/>
      <c r="AK13" s="1352"/>
      <c r="AL13" s="1352"/>
      <c r="AM13" s="1352"/>
      <c r="AN13" s="1352"/>
      <c r="AO13" s="1352"/>
      <c r="AP13" s="1352"/>
      <c r="AQ13" s="1352"/>
      <c r="AR13" s="1352"/>
      <c r="AS13" s="1352"/>
      <c r="AT13" s="1352"/>
      <c r="AU13" s="890"/>
      <c r="AV13" s="890"/>
      <c r="AW13" s="890"/>
      <c r="AX13" s="890"/>
      <c r="AY13" s="890"/>
      <c r="BD13" s="1177" t="s">
        <v>2426</v>
      </c>
      <c r="BE13" s="1178">
        <f>SUMIF($AC$726:$AC$760,"&lt;=60%",$G$726:G$760)-SUM($BE$5:BE12)</f>
        <v>61</v>
      </c>
    </row>
    <row r="14" spans="1:58" ht="12.9" customHeight="1">
      <c r="A14" s="1352"/>
      <c r="B14" s="1352"/>
      <c r="C14" s="1352"/>
      <c r="D14" s="1352"/>
      <c r="E14" s="1352"/>
      <c r="F14" s="1352"/>
      <c r="G14" s="1352"/>
      <c r="H14" s="1352"/>
      <c r="I14" s="1352"/>
      <c r="J14" s="1352"/>
      <c r="K14" s="1352"/>
      <c r="L14" s="1352"/>
      <c r="M14" s="1352"/>
      <c r="N14" s="1352"/>
      <c r="O14" s="1352"/>
      <c r="P14" s="1352"/>
      <c r="Q14" s="1352"/>
      <c r="R14" s="1352"/>
      <c r="S14" s="1352"/>
      <c r="T14" s="1352"/>
      <c r="U14" s="1352"/>
      <c r="V14" s="1352"/>
      <c r="W14" s="1352"/>
      <c r="X14" s="1352"/>
      <c r="Y14" s="1352"/>
      <c r="Z14" s="1352"/>
      <c r="AA14" s="1352"/>
      <c r="AB14" s="1352"/>
      <c r="AC14" s="1352"/>
      <c r="AD14" s="1352"/>
      <c r="AE14" s="1352"/>
      <c r="AF14" s="1352"/>
      <c r="AG14" s="1352"/>
      <c r="AH14" s="1352"/>
      <c r="AI14" s="1352"/>
      <c r="AJ14" s="1352"/>
      <c r="AK14" s="1352"/>
      <c r="AL14" s="1352"/>
      <c r="AM14" s="1352"/>
      <c r="AN14" s="1352"/>
      <c r="AO14" s="1352"/>
      <c r="AP14" s="1352"/>
      <c r="AQ14" s="1352"/>
      <c r="AR14" s="1352"/>
      <c r="AS14" s="1352"/>
      <c r="AT14" s="1352"/>
      <c r="AU14" s="890"/>
      <c r="AV14" s="890"/>
      <c r="AW14" s="890"/>
      <c r="AX14" s="890"/>
      <c r="AY14" s="890"/>
      <c r="BD14" s="1176" t="s">
        <v>2427</v>
      </c>
      <c r="BE14" s="1178">
        <f>SUMIF($AC$726:$AC$760,"&lt;=70%",$G$726:G$760)-SUM($BE$5:BE13)</f>
        <v>25</v>
      </c>
    </row>
    <row r="15" spans="1:58" ht="12.9"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2.9" customHeight="1">
      <c r="A16" s="57" t="s">
        <v>2027</v>
      </c>
      <c r="C16" s="4"/>
      <c r="D16" s="4"/>
      <c r="E16" s="4"/>
      <c r="F16" s="4"/>
      <c r="G16" s="4"/>
      <c r="H16" s="1572" t="s">
        <v>2662</v>
      </c>
      <c r="I16" s="1573"/>
      <c r="J16" s="1573"/>
      <c r="K16" s="1573"/>
      <c r="L16" s="1573"/>
      <c r="M16" s="1573"/>
      <c r="N16" s="1573"/>
      <c r="O16" s="1573"/>
      <c r="P16" s="1573"/>
      <c r="Q16" s="1573"/>
      <c r="R16" s="1573"/>
      <c r="S16" s="1573"/>
      <c r="T16" s="1573"/>
      <c r="U16" s="1573"/>
      <c r="V16" s="1573"/>
      <c r="W16" s="1573"/>
      <c r="X16" s="1573"/>
      <c r="Y16" s="1573"/>
      <c r="Z16" s="1573"/>
      <c r="AA16" s="1573"/>
      <c r="AB16" s="1573"/>
      <c r="AC16" s="1573"/>
      <c r="AD16" s="1573"/>
      <c r="AE16" s="1573"/>
      <c r="AF16" s="1573"/>
      <c r="AG16" s="1573"/>
      <c r="AH16" s="1573"/>
      <c r="AI16" s="1573"/>
      <c r="AJ16" s="1573"/>
      <c r="BD16" s="1177" t="s">
        <v>654</v>
      </c>
      <c r="BE16" s="1178" t="str">
        <f>Application!H18</f>
        <v>8955 Monterey Apartments</v>
      </c>
    </row>
    <row r="17" spans="1:58" ht="12.9" customHeight="1">
      <c r="BD17" s="1176" t="s">
        <v>2440</v>
      </c>
      <c r="BE17" s="1178">
        <f>Application!AA943</f>
        <v>0</v>
      </c>
    </row>
    <row r="18" spans="1:58" ht="12.9" customHeight="1">
      <c r="A18" s="57" t="s">
        <v>101</v>
      </c>
      <c r="C18" s="4"/>
      <c r="D18" s="4"/>
      <c r="E18" s="4"/>
      <c r="F18" s="4"/>
      <c r="G18" s="4"/>
      <c r="H18" s="1557" t="s">
        <v>2663</v>
      </c>
      <c r="I18" s="1570"/>
      <c r="J18" s="1570"/>
      <c r="K18" s="1570"/>
      <c r="L18" s="1570"/>
      <c r="M18" s="1570"/>
      <c r="N18" s="1570"/>
      <c r="O18" s="1570"/>
      <c r="P18" s="1570"/>
      <c r="Q18" s="1570"/>
      <c r="R18" s="1570"/>
      <c r="S18" s="1570"/>
      <c r="T18" s="1570"/>
      <c r="U18" s="1570"/>
      <c r="V18" s="1570"/>
      <c r="W18" s="1570"/>
      <c r="X18" s="1570"/>
      <c r="Y18" s="1570"/>
      <c r="Z18" s="1570"/>
      <c r="AA18" s="1570"/>
      <c r="AB18" s="1570"/>
      <c r="AC18" s="1570"/>
      <c r="AD18" s="1570"/>
      <c r="AE18" s="1570"/>
      <c r="AF18" s="1570"/>
      <c r="AG18" s="1570"/>
      <c r="AH18" s="1570"/>
      <c r="AI18" s="1570"/>
      <c r="AJ18" s="1570"/>
      <c r="BD18" s="1177" t="s">
        <v>2441</v>
      </c>
      <c r="BE18" s="1178">
        <f>AA943</f>
        <v>0</v>
      </c>
    </row>
    <row r="19" spans="1:58" ht="12.9" customHeight="1">
      <c r="BD19" s="1176" t="s">
        <v>2442</v>
      </c>
      <c r="BE19" s="1178">
        <f>Application!M26</f>
        <v>3995245</v>
      </c>
    </row>
    <row r="20" spans="1:58" ht="12.9" customHeight="1">
      <c r="A20" s="1566" t="s">
        <v>871</v>
      </c>
      <c r="B20" s="1566"/>
      <c r="C20" s="1566"/>
      <c r="D20" s="1566"/>
      <c r="E20" s="1566"/>
      <c r="F20" s="1566"/>
      <c r="G20" s="1566"/>
      <c r="H20" s="1566"/>
      <c r="I20" s="1566"/>
      <c r="J20" s="1566"/>
      <c r="K20" s="1566"/>
      <c r="L20" s="1566"/>
      <c r="M20" s="1566"/>
      <c r="N20" s="1566"/>
      <c r="O20" s="1566"/>
      <c r="P20" s="1566"/>
      <c r="Q20" s="1566"/>
      <c r="R20" s="1566"/>
      <c r="S20" s="1566"/>
      <c r="T20" s="1566"/>
      <c r="U20" s="1566"/>
      <c r="V20" s="1566"/>
      <c r="W20" s="1566"/>
      <c r="X20" s="1566"/>
      <c r="Y20" s="1566"/>
      <c r="Z20" s="1566"/>
      <c r="AA20" s="1566"/>
      <c r="AB20" s="1566"/>
      <c r="AC20" s="1566"/>
      <c r="AD20" s="1566"/>
      <c r="AE20" s="1566"/>
      <c r="AF20" s="1566"/>
      <c r="AG20" s="1566"/>
      <c r="AH20" s="1566"/>
      <c r="AI20" s="1566"/>
      <c r="AJ20" s="1566"/>
      <c r="AK20" s="1566"/>
      <c r="AL20" s="1566"/>
      <c r="AM20" s="1566"/>
      <c r="AN20" s="1566"/>
      <c r="AO20" s="1566"/>
      <c r="AP20" s="1566"/>
      <c r="AQ20" s="1566"/>
      <c r="AR20" s="1566"/>
      <c r="AS20" s="1566"/>
      <c r="AT20" s="1566"/>
      <c r="AU20" s="891"/>
      <c r="AV20" s="891"/>
      <c r="AW20" s="891"/>
      <c r="AX20" s="891"/>
      <c r="AY20" s="891"/>
      <c r="BD20" s="1177" t="s">
        <v>2443</v>
      </c>
      <c r="BE20" s="1178">
        <f>Application!M27</f>
        <v>0</v>
      </c>
    </row>
    <row r="21" spans="1:58" ht="12.9" customHeight="1">
      <c r="A21" s="1574" t="s">
        <v>1007</v>
      </c>
      <c r="B21" s="1574"/>
      <c r="C21" s="1574"/>
      <c r="D21" s="1574"/>
      <c r="E21" s="1574"/>
      <c r="F21" s="1574"/>
      <c r="G21" s="1574"/>
      <c r="H21" s="1574"/>
      <c r="I21" s="1574"/>
      <c r="J21" s="1574"/>
      <c r="K21" s="1574"/>
      <c r="L21" s="1574"/>
      <c r="M21" s="1574"/>
      <c r="N21" s="1574"/>
      <c r="O21" s="1574"/>
      <c r="P21" s="1574"/>
      <c r="Q21" s="1574"/>
      <c r="R21" s="1574"/>
      <c r="S21" s="1574"/>
      <c r="T21" s="1574"/>
      <c r="U21" s="1574"/>
      <c r="V21" s="1574"/>
      <c r="W21" s="1574"/>
      <c r="X21" s="1574"/>
      <c r="Y21" s="1574"/>
      <c r="Z21" s="1574"/>
      <c r="AA21" s="1574"/>
      <c r="AB21" s="1574"/>
      <c r="AC21" s="1574"/>
      <c r="AD21" s="1574"/>
      <c r="AE21" s="1574"/>
      <c r="AF21" s="1574"/>
      <c r="AG21" s="1574"/>
      <c r="AH21" s="1574"/>
      <c r="AI21" s="1574"/>
      <c r="AJ21" s="1574"/>
      <c r="AK21" s="1574"/>
      <c r="AL21" s="1574"/>
      <c r="AM21" s="892"/>
      <c r="AN21" s="892"/>
      <c r="AO21" s="892"/>
      <c r="AP21" s="892"/>
      <c r="AQ21" s="892"/>
      <c r="AR21" s="892"/>
      <c r="AS21" s="892"/>
      <c r="AT21" s="892"/>
      <c r="AU21" s="892"/>
      <c r="AV21" s="892"/>
      <c r="AW21" s="892"/>
      <c r="AX21" s="892"/>
      <c r="AY21" s="892"/>
      <c r="BD21" s="1176" t="s">
        <v>2444</v>
      </c>
      <c r="BE21" s="1178">
        <f>Application!AM562</f>
        <v>21128698</v>
      </c>
    </row>
    <row r="22" spans="1:58" ht="12.9"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79917904</v>
      </c>
      <c r="BF22" s="3" t="s">
        <v>2515</v>
      </c>
    </row>
    <row r="23" spans="1:58" ht="12.9" customHeight="1">
      <c r="A23" s="1391" t="s">
        <v>2093</v>
      </c>
      <c r="B23" s="1391"/>
      <c r="C23" s="1391"/>
      <c r="D23" s="1391"/>
      <c r="E23" s="1391"/>
      <c r="F23" s="1391"/>
      <c r="G23" s="1391"/>
      <c r="H23" s="1391"/>
      <c r="I23" s="1391"/>
      <c r="J23" s="1391"/>
      <c r="K23" s="1391"/>
      <c r="L23" s="1391"/>
      <c r="M23" s="1391"/>
      <c r="N23" s="1391"/>
      <c r="O23" s="1391"/>
      <c r="P23" s="1391"/>
      <c r="Q23" s="1391"/>
      <c r="R23" s="1391"/>
      <c r="S23" s="1391"/>
      <c r="T23" s="1391"/>
      <c r="U23" s="1391"/>
      <c r="V23" s="1391"/>
      <c r="W23" s="1391"/>
      <c r="X23" s="1391"/>
      <c r="Y23" s="1391"/>
      <c r="Z23" s="1391"/>
      <c r="AA23" s="1391"/>
      <c r="AB23" s="1391"/>
      <c r="AC23" s="1391"/>
      <c r="AD23" s="1391"/>
      <c r="AE23" s="1391"/>
      <c r="AF23" s="1391"/>
      <c r="AG23" s="1391"/>
      <c r="AH23" s="1391"/>
      <c r="AI23" s="1391"/>
      <c r="AJ23" s="1391"/>
      <c r="AK23" s="1391"/>
      <c r="AL23" s="1391"/>
      <c r="AM23" s="1391"/>
      <c r="AN23" s="1391"/>
      <c r="AO23" s="1391"/>
      <c r="AP23" s="1391"/>
      <c r="AQ23" s="1391"/>
      <c r="AR23" s="1391"/>
      <c r="AS23" s="1391"/>
      <c r="AT23" s="1391"/>
      <c r="AU23" s="18"/>
      <c r="AV23" s="18"/>
      <c r="AW23" s="18"/>
      <c r="AX23" s="18"/>
      <c r="AY23" s="18"/>
      <c r="AZ23" s="18"/>
      <c r="BD23" s="1176" t="s">
        <v>2445</v>
      </c>
      <c r="BE23" s="1178">
        <f>'Sources and Uses Budget'!B4</f>
        <v>0</v>
      </c>
    </row>
    <row r="24" spans="1:58" ht="12.9" customHeight="1">
      <c r="A24" s="1391"/>
      <c r="B24" s="1391"/>
      <c r="C24" s="1391"/>
      <c r="D24" s="1391"/>
      <c r="E24" s="1391"/>
      <c r="F24" s="1391"/>
      <c r="G24" s="1391"/>
      <c r="H24" s="1391"/>
      <c r="I24" s="1391"/>
      <c r="J24" s="1391"/>
      <c r="K24" s="1391"/>
      <c r="L24" s="1391"/>
      <c r="M24" s="1391"/>
      <c r="N24" s="1391"/>
      <c r="O24" s="1391"/>
      <c r="P24" s="1391"/>
      <c r="Q24" s="1391"/>
      <c r="R24" s="1391"/>
      <c r="S24" s="1391"/>
      <c r="T24" s="1391"/>
      <c r="U24" s="1391"/>
      <c r="V24" s="1391"/>
      <c r="W24" s="1391"/>
      <c r="X24" s="1391"/>
      <c r="Y24" s="1391"/>
      <c r="Z24" s="1391"/>
      <c r="AA24" s="1391"/>
      <c r="AB24" s="1391"/>
      <c r="AC24" s="1391"/>
      <c r="AD24" s="1391"/>
      <c r="AE24" s="1391"/>
      <c r="AF24" s="1391"/>
      <c r="AG24" s="1391"/>
      <c r="AH24" s="1391"/>
      <c r="AI24" s="1391"/>
      <c r="AJ24" s="1391"/>
      <c r="AK24" s="1391"/>
      <c r="AL24" s="1391"/>
      <c r="AM24" s="1391"/>
      <c r="AN24" s="1391"/>
      <c r="AO24" s="1391"/>
      <c r="AP24" s="1391"/>
      <c r="AQ24" s="1391"/>
      <c r="AR24" s="1391"/>
      <c r="AS24" s="1391"/>
      <c r="AT24" s="1391"/>
      <c r="AU24" s="18"/>
      <c r="AV24" s="18"/>
      <c r="AW24" s="18"/>
      <c r="AX24" s="18"/>
      <c r="AY24" s="18"/>
      <c r="AZ24" s="18"/>
      <c r="BD24" s="1177" t="s">
        <v>2446</v>
      </c>
      <c r="BE24" s="1178">
        <f>Application!AG459</f>
        <v>152195</v>
      </c>
    </row>
    <row r="25" spans="1:58" ht="12.9"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 Average Income</v>
      </c>
    </row>
    <row r="26" spans="1:58" ht="12.9" customHeight="1">
      <c r="A26" s="4"/>
      <c r="C26" s="4"/>
      <c r="D26" s="4"/>
      <c r="E26" s="4"/>
      <c r="F26" s="4"/>
      <c r="G26" s="4"/>
      <c r="H26" s="4"/>
      <c r="I26" s="4"/>
      <c r="J26" s="4"/>
      <c r="K26" s="4"/>
      <c r="L26" s="4"/>
      <c r="M26" s="1571">
        <f>'Basis &amp; Credits'!AB56</f>
        <v>3995245</v>
      </c>
      <c r="N26" s="1571"/>
      <c r="O26" s="1571"/>
      <c r="P26" s="1571"/>
      <c r="Q26" s="1571"/>
      <c r="R26" s="4" t="s">
        <v>757</v>
      </c>
      <c r="S26" s="4"/>
      <c r="T26" s="4"/>
      <c r="U26" s="4"/>
      <c r="V26" s="4"/>
      <c r="W26" s="4"/>
      <c r="X26" s="4"/>
      <c r="Y26" s="4"/>
      <c r="Z26" s="4"/>
      <c r="AF26" s="4"/>
      <c r="AG26" s="4"/>
      <c r="AH26" s="4"/>
      <c r="AI26" s="4"/>
      <c r="AJ26" s="4"/>
      <c r="AK26" s="4"/>
      <c r="BD26" s="1177" t="s">
        <v>1625</v>
      </c>
      <c r="BE26" s="1178" t="b">
        <f>Application!M365="Yes"</f>
        <v>0</v>
      </c>
    </row>
    <row r="27" spans="1:58" ht="12.9" customHeight="1">
      <c r="A27" s="4"/>
      <c r="C27" s="4"/>
      <c r="D27" s="4"/>
      <c r="E27" s="4"/>
      <c r="F27" s="4"/>
      <c r="G27" s="4"/>
      <c r="H27" s="4"/>
      <c r="I27" s="4"/>
      <c r="J27" s="4"/>
      <c r="K27" s="4"/>
      <c r="L27" s="4"/>
      <c r="M27" s="1480">
        <f>'Basis &amp; Credits'!AB78</f>
        <v>0</v>
      </c>
      <c r="N27" s="1480"/>
      <c r="O27" s="1480"/>
      <c r="P27" s="1480"/>
      <c r="Q27" s="1480"/>
      <c r="R27" s="3" t="s">
        <v>1264</v>
      </c>
      <c r="S27" s="4"/>
      <c r="T27" s="4"/>
      <c r="U27" s="4"/>
      <c r="V27" s="4"/>
      <c r="W27" s="4"/>
      <c r="X27" s="4"/>
      <c r="Y27" s="4"/>
      <c r="Z27" s="4"/>
      <c r="AF27" s="4"/>
      <c r="AG27" s="4"/>
      <c r="AH27" s="4"/>
      <c r="AI27" s="4"/>
      <c r="AJ27" s="4"/>
      <c r="AK27" s="4"/>
      <c r="BD27" s="1176" t="s">
        <v>2046</v>
      </c>
      <c r="BE27" s="1178" t="b">
        <f>Application!M364="Yes"</f>
        <v>1</v>
      </c>
    </row>
    <row r="28" spans="1:58" ht="12.9"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2.9" customHeight="1">
      <c r="A29" s="1567" t="s">
        <v>2094</v>
      </c>
      <c r="B29" s="1567"/>
      <c r="C29" s="1567"/>
      <c r="D29" s="1567"/>
      <c r="E29" s="1567"/>
      <c r="F29" s="1567"/>
      <c r="G29" s="1567"/>
      <c r="H29" s="1567"/>
      <c r="I29" s="1567"/>
      <c r="J29" s="1567"/>
      <c r="K29" s="1567"/>
      <c r="L29" s="1567"/>
      <c r="M29" s="1567"/>
      <c r="N29" s="1567"/>
      <c r="O29" s="1567"/>
      <c r="P29" s="1567"/>
      <c r="Q29" s="1567"/>
      <c r="R29" s="1567"/>
      <c r="S29" s="1567"/>
      <c r="T29" s="1567"/>
      <c r="U29" s="1567"/>
      <c r="V29" s="1567"/>
      <c r="W29" s="1567"/>
      <c r="X29" s="1567"/>
      <c r="Y29" s="1567"/>
      <c r="Z29" s="1567"/>
      <c r="AA29" s="1567"/>
      <c r="AB29" s="1567"/>
      <c r="AC29" s="1567"/>
      <c r="AD29" s="1567"/>
      <c r="AE29" s="1567"/>
      <c r="AF29" s="1567"/>
      <c r="AG29" s="1567"/>
      <c r="AH29" s="1567"/>
      <c r="AI29" s="1567"/>
      <c r="AJ29" s="1567"/>
      <c r="AK29" s="1567"/>
      <c r="AL29" s="1567"/>
      <c r="AM29" s="1567"/>
      <c r="AN29" s="1567"/>
      <c r="AO29" s="1567"/>
      <c r="AP29" s="1567"/>
      <c r="AQ29" s="1567"/>
      <c r="AR29" s="1567"/>
      <c r="AS29" s="1567"/>
      <c r="AT29" s="1567"/>
      <c r="BD29" s="1176" t="s">
        <v>2449</v>
      </c>
      <c r="BE29" s="1178" t="b">
        <f>Application!M367="Yes"</f>
        <v>0</v>
      </c>
    </row>
    <row r="30" spans="1:58" ht="12.9" customHeight="1">
      <c r="A30" s="1567"/>
      <c r="B30" s="1567"/>
      <c r="C30" s="1567"/>
      <c r="D30" s="1567"/>
      <c r="E30" s="1567"/>
      <c r="F30" s="1567"/>
      <c r="G30" s="1567"/>
      <c r="H30" s="1567"/>
      <c r="I30" s="1567"/>
      <c r="J30" s="1567"/>
      <c r="K30" s="1567"/>
      <c r="L30" s="1567"/>
      <c r="M30" s="1567"/>
      <c r="N30" s="1567"/>
      <c r="O30" s="1567"/>
      <c r="P30" s="1567"/>
      <c r="Q30" s="1567"/>
      <c r="R30" s="1567"/>
      <c r="S30" s="1567"/>
      <c r="T30" s="1567"/>
      <c r="U30" s="1567"/>
      <c r="V30" s="1567"/>
      <c r="W30" s="1567"/>
      <c r="X30" s="1567"/>
      <c r="Y30" s="1567"/>
      <c r="Z30" s="1567"/>
      <c r="AA30" s="1567"/>
      <c r="AB30" s="1567"/>
      <c r="AC30" s="1567"/>
      <c r="AD30" s="1567"/>
      <c r="AE30" s="1567"/>
      <c r="AF30" s="1567"/>
      <c r="AG30" s="1567"/>
      <c r="AH30" s="1567"/>
      <c r="AI30" s="1567"/>
      <c r="AJ30" s="1567"/>
      <c r="AK30" s="1567"/>
      <c r="AL30" s="1567"/>
      <c r="AM30" s="1567"/>
      <c r="AN30" s="1567"/>
      <c r="AO30" s="1567"/>
      <c r="AP30" s="1567"/>
      <c r="AQ30" s="1567"/>
      <c r="AR30" s="1567"/>
      <c r="AS30" s="1567"/>
      <c r="AT30" s="1567"/>
      <c r="AZ30" s="20"/>
      <c r="BD30" s="1177" t="s">
        <v>28</v>
      </c>
      <c r="BE30" s="1178" t="b">
        <f>Application!AJ364="Yes"</f>
        <v>1</v>
      </c>
    </row>
    <row r="31" spans="1:58" ht="12.9" customHeight="1">
      <c r="A31" s="1567"/>
      <c r="B31" s="1567"/>
      <c r="C31" s="1567"/>
      <c r="D31" s="1567"/>
      <c r="E31" s="1567"/>
      <c r="F31" s="1567"/>
      <c r="G31" s="1567"/>
      <c r="H31" s="1567"/>
      <c r="I31" s="1567"/>
      <c r="J31" s="1567"/>
      <c r="K31" s="1567"/>
      <c r="L31" s="1567"/>
      <c r="M31" s="1567"/>
      <c r="N31" s="1567"/>
      <c r="O31" s="1567"/>
      <c r="P31" s="1567"/>
      <c r="Q31" s="1567"/>
      <c r="R31" s="1567"/>
      <c r="S31" s="1567"/>
      <c r="T31" s="1567"/>
      <c r="U31" s="1567"/>
      <c r="V31" s="1567"/>
      <c r="W31" s="1567"/>
      <c r="X31" s="1567"/>
      <c r="Y31" s="1567"/>
      <c r="Z31" s="1567"/>
      <c r="AA31" s="1567"/>
      <c r="AB31" s="1567"/>
      <c r="AC31" s="1567"/>
      <c r="AD31" s="1567"/>
      <c r="AE31" s="1567"/>
      <c r="AF31" s="1567"/>
      <c r="AG31" s="1567"/>
      <c r="AH31" s="1567"/>
      <c r="AI31" s="1567"/>
      <c r="AJ31" s="1567"/>
      <c r="AK31" s="1567"/>
      <c r="AL31" s="1567"/>
      <c r="AM31" s="1567"/>
      <c r="AN31" s="1567"/>
      <c r="AO31" s="1567"/>
      <c r="AP31" s="1567"/>
      <c r="AQ31" s="1567"/>
      <c r="AR31" s="1567"/>
      <c r="AS31" s="1567"/>
      <c r="AT31" s="1567"/>
      <c r="AU31" s="20"/>
      <c r="AV31" s="20"/>
      <c r="AW31" s="20"/>
      <c r="AX31" s="20"/>
      <c r="AY31" s="20"/>
      <c r="AZ31" s="20"/>
      <c r="BD31" s="1176" t="s">
        <v>2450</v>
      </c>
      <c r="BE31" s="1178" t="str">
        <f>Application!D211</f>
        <v>Large Family</v>
      </c>
    </row>
    <row r="32" spans="1:58" ht="12.9"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0</v>
      </c>
    </row>
    <row r="33" spans="1:57" ht="12.9" hidden="1" customHeight="1">
      <c r="A33" s="515" t="s">
        <v>1275</v>
      </c>
      <c r="C33" s="515"/>
      <c r="D33" s="515"/>
      <c r="E33" s="515"/>
      <c r="F33" s="515"/>
      <c r="G33" s="515"/>
      <c r="H33" s="515"/>
      <c r="I33" s="515"/>
      <c r="J33" s="515"/>
      <c r="K33" s="515"/>
      <c r="L33" s="515"/>
      <c r="M33" s="515"/>
      <c r="N33" s="515"/>
      <c r="O33" s="1424" t="s">
        <v>667</v>
      </c>
      <c r="P33" s="1424"/>
      <c r="Q33" s="1568" t="s">
        <v>2095</v>
      </c>
      <c r="R33" s="1568"/>
      <c r="S33" s="1568"/>
      <c r="T33" s="1568"/>
      <c r="U33" s="1568"/>
      <c r="V33" s="1568"/>
      <c r="W33" s="1568"/>
      <c r="X33" s="1568"/>
      <c r="Y33" s="1568"/>
      <c r="Z33" s="1568"/>
      <c r="AA33" s="1568"/>
      <c r="AB33" s="1568"/>
      <c r="AC33" s="1568"/>
      <c r="AD33" s="1568"/>
      <c r="AE33" s="1568"/>
      <c r="AF33" s="1568"/>
      <c r="AG33" s="1568"/>
      <c r="AH33" s="1568"/>
      <c r="AI33" s="1568"/>
      <c r="AJ33" s="1568"/>
      <c r="AK33" s="1568"/>
      <c r="AL33" s="1568"/>
      <c r="AM33" s="1568"/>
      <c r="AN33" s="1568"/>
      <c r="AO33" s="1568"/>
      <c r="AP33" s="1568"/>
      <c r="AQ33" s="1568"/>
      <c r="AR33" s="1568"/>
      <c r="AS33" s="1568"/>
      <c r="AT33" s="1568"/>
      <c r="AU33" s="20"/>
      <c r="AV33" s="20"/>
      <c r="AW33" s="20"/>
      <c r="AX33" s="20"/>
      <c r="AY33" s="20"/>
      <c r="BD33" s="1176" t="s">
        <v>2516</v>
      </c>
      <c r="BE33" s="1178" t="str">
        <f>Application!D220</f>
        <v>South and West Bay Region: San Mateo and Santa Clara Counties</v>
      </c>
    </row>
    <row r="34" spans="1:57" ht="12.9" hidden="1" customHeight="1">
      <c r="A34" s="1567" t="s">
        <v>2096</v>
      </c>
      <c r="B34" s="1567"/>
      <c r="C34" s="1567"/>
      <c r="D34" s="1567"/>
      <c r="E34" s="1567"/>
      <c r="F34" s="1567"/>
      <c r="G34" s="1567"/>
      <c r="H34" s="1567"/>
      <c r="I34" s="1567"/>
      <c r="J34" s="1567"/>
      <c r="K34" s="1567"/>
      <c r="L34" s="1567"/>
      <c r="M34" s="1567"/>
      <c r="N34" s="1567"/>
      <c r="O34" s="1567"/>
      <c r="P34" s="1567"/>
      <c r="Q34" s="1567"/>
      <c r="R34" s="1567"/>
      <c r="S34" s="1567"/>
      <c r="T34" s="1567"/>
      <c r="U34" s="1567"/>
      <c r="V34" s="1567"/>
      <c r="W34" s="1567"/>
      <c r="X34" s="1567"/>
      <c r="Y34" s="1567"/>
      <c r="Z34" s="1567"/>
      <c r="AA34" s="1567"/>
      <c r="AB34" s="1567"/>
      <c r="AC34" s="1567"/>
      <c r="AD34" s="1567"/>
      <c r="AE34" s="1567"/>
      <c r="AF34" s="1567"/>
      <c r="AG34" s="1567"/>
      <c r="AH34" s="1567"/>
      <c r="AI34" s="1567"/>
      <c r="AJ34" s="1567"/>
      <c r="AK34" s="1567"/>
      <c r="AL34" s="1567"/>
      <c r="AM34" s="1567"/>
      <c r="AN34" s="1567"/>
      <c r="AO34" s="1567"/>
      <c r="AP34" s="1567"/>
      <c r="AQ34" s="1567"/>
      <c r="AR34" s="1567"/>
      <c r="AS34" s="1567"/>
      <c r="AT34" s="1567"/>
      <c r="AU34" s="20"/>
      <c r="AV34" s="20"/>
      <c r="AW34" s="20"/>
      <c r="AX34" s="20"/>
      <c r="AY34" s="20"/>
      <c r="AZ34" s="20"/>
      <c r="BD34" s="1177" t="s">
        <v>2452</v>
      </c>
      <c r="BE34" s="1178" t="str">
        <f>Application!I185</f>
        <v>8955 Monterey Rd</v>
      </c>
    </row>
    <row r="35" spans="1:57" ht="12.9" hidden="1" customHeight="1">
      <c r="A35" s="1567"/>
      <c r="B35" s="1567"/>
      <c r="C35" s="1567"/>
      <c r="D35" s="1567"/>
      <c r="E35" s="1567"/>
      <c r="F35" s="1567"/>
      <c r="G35" s="1567"/>
      <c r="H35" s="1567"/>
      <c r="I35" s="1567"/>
      <c r="J35" s="1567"/>
      <c r="K35" s="1567"/>
      <c r="L35" s="1567"/>
      <c r="M35" s="1567"/>
      <c r="N35" s="1567"/>
      <c r="O35" s="1567"/>
      <c r="P35" s="1567"/>
      <c r="Q35" s="1567"/>
      <c r="R35" s="1567"/>
      <c r="S35" s="1567"/>
      <c r="T35" s="1567"/>
      <c r="U35" s="1567"/>
      <c r="V35" s="1567"/>
      <c r="W35" s="1567"/>
      <c r="X35" s="1567"/>
      <c r="Y35" s="1567"/>
      <c r="Z35" s="1567"/>
      <c r="AA35" s="1567"/>
      <c r="AB35" s="1567"/>
      <c r="AC35" s="1567"/>
      <c r="AD35" s="1567"/>
      <c r="AE35" s="1567"/>
      <c r="AF35" s="1567"/>
      <c r="AG35" s="1567"/>
      <c r="AH35" s="1567"/>
      <c r="AI35" s="1567"/>
      <c r="AJ35" s="1567"/>
      <c r="AK35" s="1567"/>
      <c r="AL35" s="1567"/>
      <c r="AM35" s="1567"/>
      <c r="AN35" s="1567"/>
      <c r="AO35" s="1567"/>
      <c r="AP35" s="1567"/>
      <c r="AQ35" s="1567"/>
      <c r="AR35" s="1567"/>
      <c r="AS35" s="1567"/>
      <c r="AT35" s="1567"/>
      <c r="AU35" s="20"/>
      <c r="AV35" s="20"/>
      <c r="AW35" s="20"/>
      <c r="AX35" s="20"/>
      <c r="AY35" s="20"/>
      <c r="AZ35" s="20"/>
      <c r="BD35" s="1176" t="s">
        <v>2453</v>
      </c>
      <c r="BE35" s="1178" t="str">
        <f>IF(Application!E187="","",Application!E187)</f>
        <v/>
      </c>
    </row>
    <row r="36" spans="1:57" ht="12.9" hidden="1" customHeight="1">
      <c r="A36" s="1567"/>
      <c r="B36" s="1567"/>
      <c r="C36" s="1567"/>
      <c r="D36" s="1567"/>
      <c r="E36" s="1567"/>
      <c r="F36" s="1567"/>
      <c r="G36" s="1567"/>
      <c r="H36" s="1567"/>
      <c r="I36" s="1567"/>
      <c r="J36" s="1567"/>
      <c r="K36" s="1567"/>
      <c r="L36" s="1567"/>
      <c r="M36" s="1567"/>
      <c r="N36" s="1567"/>
      <c r="O36" s="1567"/>
      <c r="P36" s="1567"/>
      <c r="Q36" s="1567"/>
      <c r="R36" s="1567"/>
      <c r="S36" s="1567"/>
      <c r="T36" s="1567"/>
      <c r="U36" s="1567"/>
      <c r="V36" s="1567"/>
      <c r="W36" s="1567"/>
      <c r="X36" s="1567"/>
      <c r="Y36" s="1567"/>
      <c r="Z36" s="1567"/>
      <c r="AA36" s="1567"/>
      <c r="AB36" s="1567"/>
      <c r="AC36" s="1567"/>
      <c r="AD36" s="1567"/>
      <c r="AE36" s="1567"/>
      <c r="AF36" s="1567"/>
      <c r="AG36" s="1567"/>
      <c r="AH36" s="1567"/>
      <c r="AI36" s="1567"/>
      <c r="AJ36" s="1567"/>
      <c r="AK36" s="1567"/>
      <c r="AL36" s="1567"/>
      <c r="AM36" s="1567"/>
      <c r="AN36" s="1567"/>
      <c r="AO36" s="1567"/>
      <c r="AP36" s="1567"/>
      <c r="AQ36" s="1567"/>
      <c r="AR36" s="1567"/>
      <c r="AS36" s="1567"/>
      <c r="AT36" s="1567"/>
      <c r="AU36" s="20"/>
      <c r="AV36" s="20"/>
      <c r="AW36" s="20"/>
      <c r="AX36" s="20"/>
      <c r="AY36" s="20"/>
      <c r="AZ36" s="20"/>
      <c r="BD36" s="1177" t="s">
        <v>2454</v>
      </c>
      <c r="BE36" s="1178" t="str">
        <f>Application!I189</f>
        <v>Gilroy</v>
      </c>
    </row>
    <row r="37" spans="1:57" ht="12.9" hidden="1" customHeight="1">
      <c r="A37" s="1567"/>
      <c r="B37" s="1567"/>
      <c r="C37" s="1567"/>
      <c r="D37" s="1567"/>
      <c r="E37" s="1567"/>
      <c r="F37" s="1567"/>
      <c r="G37" s="1567"/>
      <c r="H37" s="1567"/>
      <c r="I37" s="1567"/>
      <c r="J37" s="1567"/>
      <c r="K37" s="1567"/>
      <c r="L37" s="1567"/>
      <c r="M37" s="1567"/>
      <c r="N37" s="1567"/>
      <c r="O37" s="1567"/>
      <c r="P37" s="1567"/>
      <c r="Q37" s="1567"/>
      <c r="R37" s="1567"/>
      <c r="S37" s="1567"/>
      <c r="T37" s="1567"/>
      <c r="U37" s="1567"/>
      <c r="V37" s="1567"/>
      <c r="W37" s="1567"/>
      <c r="X37" s="1567"/>
      <c r="Y37" s="1567"/>
      <c r="Z37" s="1567"/>
      <c r="AA37" s="1567"/>
      <c r="AB37" s="1567"/>
      <c r="AC37" s="1567"/>
      <c r="AD37" s="1567"/>
      <c r="AE37" s="1567"/>
      <c r="AF37" s="1567"/>
      <c r="AG37" s="1567"/>
      <c r="AH37" s="1567"/>
      <c r="AI37" s="1567"/>
      <c r="AJ37" s="1567"/>
      <c r="AK37" s="1567"/>
      <c r="AL37" s="1567"/>
      <c r="AM37" s="1567"/>
      <c r="AN37" s="1567"/>
      <c r="AO37" s="1567"/>
      <c r="AP37" s="1567"/>
      <c r="AQ37" s="1567"/>
      <c r="AR37" s="1567"/>
      <c r="AS37" s="1567"/>
      <c r="AT37" s="1567"/>
      <c r="AZ37" s="20"/>
      <c r="BD37" s="1176" t="s">
        <v>2455</v>
      </c>
      <c r="BE37" s="1178" t="str">
        <f>Application!T189</f>
        <v>Santa Clara</v>
      </c>
    </row>
    <row r="38" spans="1:57" ht="12.9" hidden="1" customHeight="1">
      <c r="A38" s="3"/>
      <c r="AZ38" s="20"/>
      <c r="BD38" s="1177" t="s">
        <v>2456</v>
      </c>
      <c r="BE38" s="1178">
        <f>Application!I190</f>
        <v>95020</v>
      </c>
    </row>
    <row r="39" spans="1:57" ht="12.9" customHeight="1">
      <c r="A39" s="1354" t="s">
        <v>2097</v>
      </c>
      <c r="B39" s="1354"/>
      <c r="C39" s="1354"/>
      <c r="D39" s="1354"/>
      <c r="E39" s="1354"/>
      <c r="F39" s="1354"/>
      <c r="G39" s="1354"/>
      <c r="H39" s="1354"/>
      <c r="I39" s="1354"/>
      <c r="J39" s="1354"/>
      <c r="K39" s="1354"/>
      <c r="L39" s="1354"/>
      <c r="M39" s="1354"/>
      <c r="N39" s="1354"/>
      <c r="O39" s="1354"/>
      <c r="P39" s="1354"/>
      <c r="Q39" s="1354"/>
      <c r="R39" s="1354"/>
      <c r="S39" s="1354"/>
      <c r="T39" s="1354"/>
      <c r="U39" s="1354"/>
      <c r="V39" s="1354"/>
      <c r="W39" s="1354"/>
      <c r="X39" s="1354"/>
      <c r="Y39" s="1354"/>
      <c r="Z39" s="1354"/>
      <c r="AA39" s="1354"/>
      <c r="AB39" s="1354"/>
      <c r="AC39" s="1354"/>
      <c r="AD39" s="1354"/>
      <c r="AE39" s="1354"/>
      <c r="AF39" s="1354"/>
      <c r="AG39" s="1354"/>
      <c r="AH39" s="1354"/>
      <c r="AI39" s="1354"/>
      <c r="AJ39" s="1354"/>
      <c r="AK39" s="1354"/>
      <c r="AL39" s="1354"/>
      <c r="AM39" s="1354"/>
      <c r="AN39" s="1354"/>
      <c r="AO39" s="1354"/>
      <c r="AP39" s="1354"/>
      <c r="AQ39" s="1354"/>
      <c r="AR39" s="1354"/>
      <c r="AS39" s="1354"/>
      <c r="AT39" s="1354"/>
      <c r="AZ39" s="20"/>
      <c r="BD39" s="1176" t="s">
        <v>2457</v>
      </c>
      <c r="BE39" s="1178">
        <f>Application!AG446</f>
        <v>113</v>
      </c>
    </row>
    <row r="40" spans="1:57" ht="12.9" customHeight="1">
      <c r="A40" s="1354"/>
      <c r="B40" s="1354"/>
      <c r="C40" s="1354"/>
      <c r="D40" s="1354"/>
      <c r="E40" s="1354"/>
      <c r="F40" s="1354"/>
      <c r="G40" s="1354"/>
      <c r="H40" s="1354"/>
      <c r="I40" s="1354"/>
      <c r="J40" s="1354"/>
      <c r="K40" s="1354"/>
      <c r="L40" s="1354"/>
      <c r="M40" s="1354"/>
      <c r="N40" s="1354"/>
      <c r="O40" s="1354"/>
      <c r="P40" s="1354"/>
      <c r="Q40" s="1354"/>
      <c r="R40" s="1354"/>
      <c r="S40" s="1354"/>
      <c r="T40" s="1354"/>
      <c r="U40" s="1354"/>
      <c r="V40" s="1354"/>
      <c r="W40" s="1354"/>
      <c r="X40" s="1354"/>
      <c r="Y40" s="1354"/>
      <c r="Z40" s="1354"/>
      <c r="AA40" s="1354"/>
      <c r="AB40" s="1354"/>
      <c r="AC40" s="1354"/>
      <c r="AD40" s="1354"/>
      <c r="AE40" s="1354"/>
      <c r="AF40" s="1354"/>
      <c r="AG40" s="1354"/>
      <c r="AH40" s="1354"/>
      <c r="AI40" s="1354"/>
      <c r="AJ40" s="1354"/>
      <c r="AK40" s="1354"/>
      <c r="AL40" s="1354"/>
      <c r="AM40" s="1354"/>
      <c r="AN40" s="1354"/>
      <c r="AO40" s="1354"/>
      <c r="AP40" s="1354"/>
      <c r="AQ40" s="1354"/>
      <c r="AR40" s="1354"/>
      <c r="AS40" s="1354"/>
      <c r="AT40" s="1354"/>
      <c r="AU40" s="20"/>
      <c r="AV40" s="20"/>
      <c r="AW40" s="20"/>
      <c r="AX40" s="20"/>
      <c r="AY40" s="20"/>
      <c r="AZ40" s="20"/>
      <c r="BD40" s="1177" t="s">
        <v>383</v>
      </c>
      <c r="BE40" s="1178">
        <f>Application!AG449</f>
        <v>112</v>
      </c>
    </row>
    <row r="41" spans="1:57" ht="12.9" customHeight="1">
      <c r="A41" s="1354"/>
      <c r="B41" s="1354"/>
      <c r="C41" s="1354"/>
      <c r="D41" s="1354"/>
      <c r="E41" s="1354"/>
      <c r="F41" s="1354"/>
      <c r="G41" s="1354"/>
      <c r="H41" s="1354"/>
      <c r="I41" s="1354"/>
      <c r="J41" s="1354"/>
      <c r="K41" s="1354"/>
      <c r="L41" s="1354"/>
      <c r="M41" s="1354"/>
      <c r="N41" s="1354"/>
      <c r="O41" s="1354"/>
      <c r="P41" s="1354"/>
      <c r="Q41" s="1354"/>
      <c r="R41" s="1354"/>
      <c r="S41" s="1354"/>
      <c r="T41" s="1354"/>
      <c r="U41" s="1354"/>
      <c r="V41" s="1354"/>
      <c r="W41" s="1354"/>
      <c r="X41" s="1354"/>
      <c r="Y41" s="1354"/>
      <c r="Z41" s="1354"/>
      <c r="AA41" s="1354"/>
      <c r="AB41" s="1354"/>
      <c r="AC41" s="1354"/>
      <c r="AD41" s="1354"/>
      <c r="AE41" s="1354"/>
      <c r="AF41" s="1354"/>
      <c r="AG41" s="1354"/>
      <c r="AH41" s="1354"/>
      <c r="AI41" s="1354"/>
      <c r="AJ41" s="1354"/>
      <c r="AK41" s="1354"/>
      <c r="AL41" s="1354"/>
      <c r="AM41" s="1354"/>
      <c r="AN41" s="1354"/>
      <c r="AO41" s="1354"/>
      <c r="AP41" s="1354"/>
      <c r="AQ41" s="1354"/>
      <c r="AR41" s="1354"/>
      <c r="AS41" s="1354"/>
      <c r="AT41" s="1354"/>
      <c r="AU41" s="20"/>
      <c r="AV41" s="20"/>
      <c r="AW41" s="20"/>
      <c r="AX41" s="20"/>
      <c r="AY41" s="20"/>
      <c r="AZ41" s="20"/>
      <c r="BD41" s="1176" t="s">
        <v>287</v>
      </c>
      <c r="BE41" s="1178">
        <f>Application!AG447</f>
        <v>0</v>
      </c>
    </row>
    <row r="42" spans="1:57" ht="12.9" customHeight="1">
      <c r="A42" s="1354"/>
      <c r="B42" s="1354"/>
      <c r="C42" s="1354"/>
      <c r="D42" s="1354"/>
      <c r="E42" s="1354"/>
      <c r="F42" s="1354"/>
      <c r="G42" s="1354"/>
      <c r="H42" s="1354"/>
      <c r="I42" s="1354"/>
      <c r="J42" s="1354"/>
      <c r="K42" s="1354"/>
      <c r="L42" s="1354"/>
      <c r="M42" s="1354"/>
      <c r="N42" s="1354"/>
      <c r="O42" s="1354"/>
      <c r="P42" s="1354"/>
      <c r="Q42" s="1354"/>
      <c r="R42" s="1354"/>
      <c r="S42" s="1354"/>
      <c r="T42" s="1354"/>
      <c r="U42" s="1354"/>
      <c r="V42" s="1354"/>
      <c r="W42" s="1354"/>
      <c r="X42" s="1354"/>
      <c r="Y42" s="1354"/>
      <c r="Z42" s="1354"/>
      <c r="AA42" s="1354"/>
      <c r="AB42" s="1354"/>
      <c r="AC42" s="1354"/>
      <c r="AD42" s="1354"/>
      <c r="AE42" s="1354"/>
      <c r="AF42" s="1354"/>
      <c r="AG42" s="1354"/>
      <c r="AH42" s="1354"/>
      <c r="AI42" s="1354"/>
      <c r="AJ42" s="1354"/>
      <c r="AK42" s="1354"/>
      <c r="AL42" s="1354"/>
      <c r="AM42" s="1354"/>
      <c r="AN42" s="1354"/>
      <c r="AO42" s="1354"/>
      <c r="AP42" s="1354"/>
      <c r="AQ42" s="1354"/>
      <c r="AR42" s="1354"/>
      <c r="AS42" s="1354"/>
      <c r="AT42" s="1354"/>
      <c r="AZ42" s="20"/>
      <c r="BD42" s="1177" t="s">
        <v>2458</v>
      </c>
      <c r="BE42" s="1180">
        <f>Application!AC761</f>
        <v>0.57589285714285721</v>
      </c>
    </row>
    <row r="43" spans="1:57" ht="12.9" customHeight="1">
      <c r="A43" s="1354"/>
      <c r="B43" s="1354"/>
      <c r="C43" s="1354"/>
      <c r="D43" s="1354"/>
      <c r="E43" s="1354"/>
      <c r="F43" s="1354"/>
      <c r="G43" s="1354"/>
      <c r="H43" s="1354"/>
      <c r="I43" s="1354"/>
      <c r="J43" s="1354"/>
      <c r="K43" s="1354"/>
      <c r="L43" s="1354"/>
      <c r="M43" s="1354"/>
      <c r="N43" s="1354"/>
      <c r="O43" s="1354"/>
      <c r="P43" s="1354"/>
      <c r="Q43" s="1354"/>
      <c r="R43" s="1354"/>
      <c r="S43" s="1354"/>
      <c r="T43" s="1354"/>
      <c r="U43" s="1354"/>
      <c r="V43" s="1354"/>
      <c r="W43" s="1354"/>
      <c r="X43" s="1354"/>
      <c r="Y43" s="1354"/>
      <c r="Z43" s="1354"/>
      <c r="AA43" s="1354"/>
      <c r="AB43" s="1354"/>
      <c r="AC43" s="1354"/>
      <c r="AD43" s="1354"/>
      <c r="AE43" s="1354"/>
      <c r="AF43" s="1354"/>
      <c r="AG43" s="1354"/>
      <c r="AH43" s="1354"/>
      <c r="AI43" s="1354"/>
      <c r="AJ43" s="1354"/>
      <c r="AK43" s="1354"/>
      <c r="AL43" s="1354"/>
      <c r="AM43" s="1354"/>
      <c r="AN43" s="1354"/>
      <c r="AO43" s="1354"/>
      <c r="AP43" s="1354"/>
      <c r="AQ43" s="1354"/>
      <c r="AR43" s="1354"/>
      <c r="AS43" s="1354"/>
      <c r="AT43" s="1354"/>
      <c r="AU43" s="20"/>
      <c r="AV43" s="20"/>
      <c r="AW43" s="20"/>
      <c r="AX43" s="20"/>
      <c r="AY43" s="20"/>
      <c r="AZ43" s="20"/>
      <c r="BD43" s="1176" t="s">
        <v>2459</v>
      </c>
      <c r="BE43" s="1180">
        <f>Application!AH761</f>
        <v>0.55568991027650172</v>
      </c>
    </row>
    <row r="44" spans="1:57" ht="12.9" customHeight="1">
      <c r="A44" s="1354"/>
      <c r="B44" s="1354"/>
      <c r="C44" s="1354"/>
      <c r="D44" s="1354"/>
      <c r="E44" s="1354"/>
      <c r="F44" s="1354"/>
      <c r="G44" s="1354"/>
      <c r="H44" s="1354"/>
      <c r="I44" s="1354"/>
      <c r="J44" s="1354"/>
      <c r="K44" s="1354"/>
      <c r="L44" s="1354"/>
      <c r="M44" s="1354"/>
      <c r="N44" s="1354"/>
      <c r="O44" s="1354"/>
      <c r="P44" s="1354"/>
      <c r="Q44" s="1354"/>
      <c r="R44" s="1354"/>
      <c r="S44" s="1354"/>
      <c r="T44" s="1354"/>
      <c r="U44" s="1354"/>
      <c r="V44" s="1354"/>
      <c r="W44" s="1354"/>
      <c r="X44" s="1354"/>
      <c r="Y44" s="1354"/>
      <c r="Z44" s="1354"/>
      <c r="AA44" s="1354"/>
      <c r="AB44" s="1354"/>
      <c r="AC44" s="1354"/>
      <c r="AD44" s="1354"/>
      <c r="AE44" s="1354"/>
      <c r="AF44" s="1354"/>
      <c r="AG44" s="1354"/>
      <c r="AH44" s="1354"/>
      <c r="AI44" s="1354"/>
      <c r="AJ44" s="1354"/>
      <c r="AK44" s="1354"/>
      <c r="AL44" s="1354"/>
      <c r="AM44" s="1354"/>
      <c r="AN44" s="1354"/>
      <c r="AO44" s="1354"/>
      <c r="AP44" s="1354"/>
      <c r="AQ44" s="1354"/>
      <c r="AR44" s="1354"/>
      <c r="AS44" s="1354"/>
      <c r="AT44" s="1354"/>
      <c r="AU44" s="20"/>
      <c r="AV44" s="20"/>
      <c r="AW44" s="20"/>
      <c r="AX44" s="20"/>
      <c r="AY44" s="20"/>
      <c r="AZ44" s="20"/>
      <c r="BD44" s="1177" t="s">
        <v>2460</v>
      </c>
      <c r="BE44" s="1178">
        <f>Application!AC463</f>
        <v>707238.08849557524</v>
      </c>
    </row>
    <row r="45" spans="1:57" ht="12.9"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1</v>
      </c>
    </row>
    <row r="46" spans="1:57" ht="12.9" customHeight="1">
      <c r="A46" s="1391" t="s">
        <v>2098</v>
      </c>
      <c r="B46" s="1391"/>
      <c r="C46" s="1391"/>
      <c r="D46" s="1391"/>
      <c r="E46" s="1391"/>
      <c r="F46" s="1391"/>
      <c r="G46" s="1391"/>
      <c r="H46" s="1391"/>
      <c r="I46" s="1391"/>
      <c r="J46" s="1391"/>
      <c r="K46" s="1391"/>
      <c r="L46" s="1391"/>
      <c r="M46" s="1391"/>
      <c r="N46" s="1391"/>
      <c r="O46" s="1391"/>
      <c r="P46" s="1391"/>
      <c r="Q46" s="1391"/>
      <c r="R46" s="1391"/>
      <c r="S46" s="1391"/>
      <c r="T46" s="1391"/>
      <c r="U46" s="1391"/>
      <c r="V46" s="1391"/>
      <c r="W46" s="1391"/>
      <c r="X46" s="1391"/>
      <c r="Y46" s="1391"/>
      <c r="Z46" s="1391"/>
      <c r="AA46" s="1391"/>
      <c r="AB46" s="1391"/>
      <c r="AC46" s="1391"/>
      <c r="AD46" s="1391"/>
      <c r="AE46" s="1391"/>
      <c r="AF46" s="1391"/>
      <c r="AG46" s="1391"/>
      <c r="AH46" s="1391"/>
      <c r="AI46" s="1391"/>
      <c r="AJ46" s="1391"/>
      <c r="AK46" s="1391"/>
      <c r="AL46" s="1391"/>
      <c r="AM46" s="1391"/>
      <c r="AN46" s="1391"/>
      <c r="AO46" s="1391"/>
      <c r="AP46" s="1391"/>
      <c r="AQ46" s="1391"/>
      <c r="AR46" s="1391"/>
      <c r="AS46" s="1391"/>
      <c r="AT46" s="1391"/>
      <c r="AU46" s="20"/>
      <c r="AV46" s="20"/>
      <c r="AW46" s="20"/>
      <c r="AX46" s="20"/>
      <c r="AY46" s="20"/>
      <c r="AZ46" s="20"/>
      <c r="BD46" s="1177" t="s">
        <v>2462</v>
      </c>
      <c r="BE46" s="1178" t="b">
        <f>Application!T195="Yes"</f>
        <v>0</v>
      </c>
    </row>
    <row r="47" spans="1:57" ht="12.9" customHeight="1">
      <c r="A47" s="1391"/>
      <c r="B47" s="1391"/>
      <c r="C47" s="1391"/>
      <c r="D47" s="1391"/>
      <c r="E47" s="1391"/>
      <c r="F47" s="1391"/>
      <c r="G47" s="1391"/>
      <c r="H47" s="1391"/>
      <c r="I47" s="1391"/>
      <c r="J47" s="1391"/>
      <c r="K47" s="1391"/>
      <c r="L47" s="1391"/>
      <c r="M47" s="1391"/>
      <c r="N47" s="1391"/>
      <c r="O47" s="1391"/>
      <c r="P47" s="1391"/>
      <c r="Q47" s="1391"/>
      <c r="R47" s="1391"/>
      <c r="S47" s="1391"/>
      <c r="T47" s="1391"/>
      <c r="U47" s="1391"/>
      <c r="V47" s="1391"/>
      <c r="W47" s="1391"/>
      <c r="X47" s="1391"/>
      <c r="Y47" s="1391"/>
      <c r="Z47" s="1391"/>
      <c r="AA47" s="1391"/>
      <c r="AB47" s="1391"/>
      <c r="AC47" s="1391"/>
      <c r="AD47" s="1391"/>
      <c r="AE47" s="1391"/>
      <c r="AF47" s="1391"/>
      <c r="AG47" s="1391"/>
      <c r="AH47" s="1391"/>
      <c r="AI47" s="1391"/>
      <c r="AJ47" s="1391"/>
      <c r="AK47" s="1391"/>
      <c r="AL47" s="1391"/>
      <c r="AM47" s="1391"/>
      <c r="AN47" s="1391"/>
      <c r="AO47" s="1391"/>
      <c r="AP47" s="1391"/>
      <c r="AQ47" s="1391"/>
      <c r="AR47" s="1391"/>
      <c r="AS47" s="1391"/>
      <c r="AT47" s="1391"/>
      <c r="AU47" s="20"/>
      <c r="AV47" s="20"/>
      <c r="AW47" s="20"/>
      <c r="AX47" s="20"/>
      <c r="AY47" s="20"/>
      <c r="AZ47" s="20"/>
      <c r="BD47" s="1176" t="s">
        <v>2463</v>
      </c>
      <c r="BE47" s="1178" t="b">
        <f>Application!T196="Yes"</f>
        <v>1</v>
      </c>
    </row>
    <row r="48" spans="1:57" ht="12.9" customHeight="1">
      <c r="A48" s="1391"/>
      <c r="B48" s="1391"/>
      <c r="C48" s="1391"/>
      <c r="D48" s="1391"/>
      <c r="E48" s="1391"/>
      <c r="F48" s="1391"/>
      <c r="G48" s="1391"/>
      <c r="H48" s="1391"/>
      <c r="I48" s="1391"/>
      <c r="J48" s="1391"/>
      <c r="K48" s="1391"/>
      <c r="L48" s="1391"/>
      <c r="M48" s="1391"/>
      <c r="N48" s="1391"/>
      <c r="O48" s="1391"/>
      <c r="P48" s="1391"/>
      <c r="Q48" s="1391"/>
      <c r="R48" s="1391"/>
      <c r="S48" s="1391"/>
      <c r="T48" s="1391"/>
      <c r="U48" s="1391"/>
      <c r="V48" s="1391"/>
      <c r="W48" s="1391"/>
      <c r="X48" s="1391"/>
      <c r="Y48" s="1391"/>
      <c r="Z48" s="1391"/>
      <c r="AA48" s="1391"/>
      <c r="AB48" s="1391"/>
      <c r="AC48" s="1391"/>
      <c r="AD48" s="1391"/>
      <c r="AE48" s="1391"/>
      <c r="AF48" s="1391"/>
      <c r="AG48" s="1391"/>
      <c r="AH48" s="1391"/>
      <c r="AI48" s="1391"/>
      <c r="AJ48" s="1391"/>
      <c r="AK48" s="1391"/>
      <c r="AL48" s="1391"/>
      <c r="AM48" s="1391"/>
      <c r="AN48" s="1391"/>
      <c r="AO48" s="1391"/>
      <c r="AP48" s="1391"/>
      <c r="AQ48" s="1391"/>
      <c r="AR48" s="1391"/>
      <c r="AS48" s="1391"/>
      <c r="AT48" s="1391"/>
      <c r="AU48" s="20"/>
      <c r="AV48" s="20"/>
      <c r="AW48" s="20"/>
      <c r="AX48" s="20"/>
      <c r="AY48" s="20"/>
      <c r="AZ48" s="20"/>
      <c r="BD48" s="1177" t="s">
        <v>2464</v>
      </c>
      <c r="BE48" s="1178" t="str">
        <f>Application!M252</f>
        <v>Community Revitalization and Development Corporation</v>
      </c>
    </row>
    <row r="49" spans="1:57" ht="12.9" customHeight="1">
      <c r="A49" s="1391"/>
      <c r="B49" s="1391"/>
      <c r="C49" s="1391"/>
      <c r="D49" s="1391"/>
      <c r="E49" s="1391"/>
      <c r="F49" s="1391"/>
      <c r="G49" s="1391"/>
      <c r="H49" s="1391"/>
      <c r="I49" s="1391"/>
      <c r="J49" s="1391"/>
      <c r="K49" s="1391"/>
      <c r="L49" s="1391"/>
      <c r="M49" s="1391"/>
      <c r="N49" s="1391"/>
      <c r="O49" s="1391"/>
      <c r="P49" s="1391"/>
      <c r="Q49" s="1391"/>
      <c r="R49" s="1391"/>
      <c r="S49" s="1391"/>
      <c r="T49" s="1391"/>
      <c r="U49" s="1391"/>
      <c r="V49" s="1391"/>
      <c r="W49" s="1391"/>
      <c r="X49" s="1391"/>
      <c r="Y49" s="1391"/>
      <c r="Z49" s="1391"/>
      <c r="AA49" s="1391"/>
      <c r="AB49" s="1391"/>
      <c r="AC49" s="1391"/>
      <c r="AD49" s="1391"/>
      <c r="AE49" s="1391"/>
      <c r="AF49" s="1391"/>
      <c r="AG49" s="1391"/>
      <c r="AH49" s="1391"/>
      <c r="AI49" s="1391"/>
      <c r="AJ49" s="1391"/>
      <c r="AK49" s="1391"/>
      <c r="AL49" s="1391"/>
      <c r="AM49" s="1391"/>
      <c r="AN49" s="1391"/>
      <c r="AO49" s="1391"/>
      <c r="AP49" s="1391"/>
      <c r="AQ49" s="1391"/>
      <c r="AR49" s="1391"/>
      <c r="AS49" s="1391"/>
      <c r="AT49" s="1391"/>
      <c r="AU49" s="20"/>
      <c r="AV49" s="20"/>
      <c r="AW49" s="20"/>
      <c r="AX49" s="20"/>
      <c r="AY49" s="20"/>
      <c r="AZ49" s="20"/>
      <c r="BD49" s="1176" t="s">
        <v>2465</v>
      </c>
      <c r="BE49" s="1178" t="str">
        <f>Application!M255</f>
        <v>David Rutledge</v>
      </c>
    </row>
    <row r="50" spans="1:57" ht="12.9"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f>Application!AA258</f>
        <v>0</v>
      </c>
    </row>
    <row r="51" spans="1:57" ht="12.9" customHeight="1">
      <c r="A51" s="1354" t="s">
        <v>2099</v>
      </c>
      <c r="B51" s="1354"/>
      <c r="C51" s="1354"/>
      <c r="D51" s="1354"/>
      <c r="E51" s="1354"/>
      <c r="F51" s="1354"/>
      <c r="G51" s="1354"/>
      <c r="H51" s="1354"/>
      <c r="I51" s="1354"/>
      <c r="J51" s="1354"/>
      <c r="K51" s="1354"/>
      <c r="L51" s="1354"/>
      <c r="M51" s="1354"/>
      <c r="N51" s="1354"/>
      <c r="O51" s="1354"/>
      <c r="P51" s="1354"/>
      <c r="Q51" s="1354"/>
      <c r="R51" s="1354"/>
      <c r="S51" s="1354"/>
      <c r="T51" s="1354"/>
      <c r="U51" s="1354"/>
      <c r="V51" s="1354"/>
      <c r="W51" s="1354"/>
      <c r="X51" s="1354"/>
      <c r="Y51" s="1354"/>
      <c r="Z51" s="1354"/>
      <c r="AA51" s="1354"/>
      <c r="AB51" s="1354"/>
      <c r="AC51" s="1354"/>
      <c r="AD51" s="1354"/>
      <c r="AE51" s="1354"/>
      <c r="AF51" s="1354"/>
      <c r="AG51" s="1354"/>
      <c r="AH51" s="1354"/>
      <c r="AI51" s="1354"/>
      <c r="AJ51" s="1354"/>
      <c r="AK51" s="1354"/>
      <c r="AL51" s="1354"/>
      <c r="AM51" s="1354"/>
      <c r="AN51" s="1354"/>
      <c r="AO51" s="1354"/>
      <c r="AP51" s="1354"/>
      <c r="AQ51" s="1354"/>
      <c r="AR51" s="1354"/>
      <c r="AS51" s="1354"/>
      <c r="AT51" s="1354"/>
      <c r="AU51" s="20"/>
      <c r="AV51" s="20"/>
      <c r="AW51" s="20"/>
      <c r="AX51" s="20"/>
      <c r="AY51" s="20"/>
      <c r="AZ51" s="20"/>
      <c r="BD51" s="1176" t="s">
        <v>2467</v>
      </c>
      <c r="BE51" s="1178" t="str">
        <f>Application!M260</f>
        <v>CRP Monterey AGP LLC</v>
      </c>
    </row>
    <row r="52" spans="1:57" ht="12.9" customHeight="1">
      <c r="A52" s="1354"/>
      <c r="B52" s="1354"/>
      <c r="C52" s="1354"/>
      <c r="D52" s="1354"/>
      <c r="E52" s="1354"/>
      <c r="F52" s="1354"/>
      <c r="G52" s="1354"/>
      <c r="H52" s="1354"/>
      <c r="I52" s="1354"/>
      <c r="J52" s="1354"/>
      <c r="K52" s="1354"/>
      <c r="L52" s="1354"/>
      <c r="M52" s="1354"/>
      <c r="N52" s="1354"/>
      <c r="O52" s="1354"/>
      <c r="P52" s="1354"/>
      <c r="Q52" s="1354"/>
      <c r="R52" s="1354"/>
      <c r="S52" s="1354"/>
      <c r="T52" s="1354"/>
      <c r="U52" s="1354"/>
      <c r="V52" s="1354"/>
      <c r="W52" s="1354"/>
      <c r="X52" s="1354"/>
      <c r="Y52" s="1354"/>
      <c r="Z52" s="1354"/>
      <c r="AA52" s="1354"/>
      <c r="AB52" s="1354"/>
      <c r="AC52" s="1354"/>
      <c r="AD52" s="1354"/>
      <c r="AE52" s="1354"/>
      <c r="AF52" s="1354"/>
      <c r="AG52" s="1354"/>
      <c r="AH52" s="1354"/>
      <c r="AI52" s="1354"/>
      <c r="AJ52" s="1354"/>
      <c r="AK52" s="1354"/>
      <c r="AL52" s="1354"/>
      <c r="AM52" s="1354"/>
      <c r="AN52" s="1354"/>
      <c r="AO52" s="1354"/>
      <c r="AP52" s="1354"/>
      <c r="AQ52" s="1354"/>
      <c r="AR52" s="1354"/>
      <c r="AS52" s="1354"/>
      <c r="AT52" s="1354"/>
      <c r="AU52" s="20"/>
      <c r="AV52" s="20"/>
      <c r="AW52" s="20"/>
      <c r="AX52" s="20"/>
      <c r="AY52" s="20"/>
      <c r="AZ52" s="20"/>
      <c r="BD52" s="1177" t="s">
        <v>2468</v>
      </c>
      <c r="BE52" s="1178" t="str">
        <f>Application!M263</f>
        <v>Paul Salib</v>
      </c>
    </row>
    <row r="53" spans="1:57" ht="12.9"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t="str">
        <f>Application!AA266</f>
        <v>CRP Affordable Housing and Community Development LLC</v>
      </c>
    </row>
    <row r="54" spans="1:57" ht="12.9" customHeight="1">
      <c r="A54" s="1354" t="s">
        <v>2100</v>
      </c>
      <c r="B54" s="1354"/>
      <c r="C54" s="1354"/>
      <c r="D54" s="1354"/>
      <c r="E54" s="1354"/>
      <c r="F54" s="1354"/>
      <c r="G54" s="1354"/>
      <c r="H54" s="1354"/>
      <c r="I54" s="1354"/>
      <c r="J54" s="1354"/>
      <c r="K54" s="1354"/>
      <c r="L54" s="1354"/>
      <c r="M54" s="1354"/>
      <c r="N54" s="1354"/>
      <c r="O54" s="1354"/>
      <c r="P54" s="1354"/>
      <c r="Q54" s="1354"/>
      <c r="R54" s="1354"/>
      <c r="S54" s="1354"/>
      <c r="T54" s="1354"/>
      <c r="U54" s="1354"/>
      <c r="V54" s="1354"/>
      <c r="W54" s="1354"/>
      <c r="X54" s="1354"/>
      <c r="Y54" s="1354"/>
      <c r="Z54" s="1354"/>
      <c r="AA54" s="1354"/>
      <c r="AB54" s="1354"/>
      <c r="AC54" s="1354"/>
      <c r="AD54" s="1354"/>
      <c r="AE54" s="1354"/>
      <c r="AF54" s="1354"/>
      <c r="AG54" s="1354"/>
      <c r="AH54" s="1354"/>
      <c r="AI54" s="1354"/>
      <c r="AJ54" s="1354"/>
      <c r="AK54" s="1354"/>
      <c r="AL54" s="1354"/>
      <c r="AM54" s="1354"/>
      <c r="AN54" s="1354"/>
      <c r="AO54" s="1354"/>
      <c r="AP54" s="1354"/>
      <c r="AQ54" s="1354"/>
      <c r="AR54" s="1354"/>
      <c r="AS54" s="1354"/>
      <c r="AT54" s="1354"/>
      <c r="AU54" s="20"/>
      <c r="AV54" s="20"/>
      <c r="AW54" s="20"/>
      <c r="AX54" s="20"/>
      <c r="AY54" s="20"/>
      <c r="AZ54" s="21"/>
      <c r="BD54" s="1177" t="s">
        <v>2470</v>
      </c>
      <c r="BE54" s="1178">
        <f>Application!M268</f>
        <v>0</v>
      </c>
    </row>
    <row r="55" spans="1:57" ht="12.9" customHeight="1">
      <c r="A55" s="1354"/>
      <c r="B55" s="1354"/>
      <c r="C55" s="1354"/>
      <c r="D55" s="1354"/>
      <c r="E55" s="1354"/>
      <c r="F55" s="1354"/>
      <c r="G55" s="1354"/>
      <c r="H55" s="1354"/>
      <c r="I55" s="1354"/>
      <c r="J55" s="1354"/>
      <c r="K55" s="1354"/>
      <c r="L55" s="1354"/>
      <c r="M55" s="1354"/>
      <c r="N55" s="1354"/>
      <c r="O55" s="1354"/>
      <c r="P55" s="1354"/>
      <c r="Q55" s="1354"/>
      <c r="R55" s="1354"/>
      <c r="S55" s="1354"/>
      <c r="T55" s="1354"/>
      <c r="U55" s="1354"/>
      <c r="V55" s="1354"/>
      <c r="W55" s="1354"/>
      <c r="X55" s="1354"/>
      <c r="Y55" s="1354"/>
      <c r="Z55" s="1354"/>
      <c r="AA55" s="1354"/>
      <c r="AB55" s="1354"/>
      <c r="AC55" s="1354"/>
      <c r="AD55" s="1354"/>
      <c r="AE55" s="1354"/>
      <c r="AF55" s="1354"/>
      <c r="AG55" s="1354"/>
      <c r="AH55" s="1354"/>
      <c r="AI55" s="1354"/>
      <c r="AJ55" s="1354"/>
      <c r="AK55" s="1354"/>
      <c r="AL55" s="1354"/>
      <c r="AM55" s="1354"/>
      <c r="AN55" s="1354"/>
      <c r="AO55" s="1354"/>
      <c r="AP55" s="1354"/>
      <c r="AQ55" s="1354"/>
      <c r="AR55" s="1354"/>
      <c r="AS55" s="1354"/>
      <c r="AT55" s="1354"/>
      <c r="AZ55" s="21"/>
      <c r="BD55" s="1176" t="s">
        <v>2471</v>
      </c>
      <c r="BE55" s="1178">
        <f>Application!M271</f>
        <v>0</v>
      </c>
    </row>
    <row r="56" spans="1:57" ht="12.9" customHeight="1">
      <c r="A56" s="1354"/>
      <c r="B56" s="1354"/>
      <c r="C56" s="1354"/>
      <c r="D56" s="1354"/>
      <c r="E56" s="1354"/>
      <c r="F56" s="1354"/>
      <c r="G56" s="1354"/>
      <c r="H56" s="1354"/>
      <c r="I56" s="1354"/>
      <c r="J56" s="1354"/>
      <c r="K56" s="1354"/>
      <c r="L56" s="1354"/>
      <c r="M56" s="1354"/>
      <c r="N56" s="1354"/>
      <c r="O56" s="1354"/>
      <c r="P56" s="1354"/>
      <c r="Q56" s="1354"/>
      <c r="R56" s="1354"/>
      <c r="S56" s="1354"/>
      <c r="T56" s="1354"/>
      <c r="U56" s="1354"/>
      <c r="V56" s="1354"/>
      <c r="W56" s="1354"/>
      <c r="X56" s="1354"/>
      <c r="Y56" s="1354"/>
      <c r="Z56" s="1354"/>
      <c r="AA56" s="1354"/>
      <c r="AB56" s="1354"/>
      <c r="AC56" s="1354"/>
      <c r="AD56" s="1354"/>
      <c r="AE56" s="1354"/>
      <c r="AF56" s="1354"/>
      <c r="AG56" s="1354"/>
      <c r="AH56" s="1354"/>
      <c r="AI56" s="1354"/>
      <c r="AJ56" s="1354"/>
      <c r="AK56" s="1354"/>
      <c r="AL56" s="1354"/>
      <c r="AM56" s="1354"/>
      <c r="AN56" s="1354"/>
      <c r="AO56" s="1354"/>
      <c r="AP56" s="1354"/>
      <c r="AQ56" s="1354"/>
      <c r="AR56" s="1354"/>
      <c r="AS56" s="1354"/>
      <c r="AT56" s="1354"/>
      <c r="BD56" s="1177" t="s">
        <v>2472</v>
      </c>
      <c r="BE56" s="1178">
        <f>Application!AA274</f>
        <v>0</v>
      </c>
    </row>
    <row r="57" spans="1:57" ht="12.9" customHeight="1">
      <c r="A57" s="1354"/>
      <c r="B57" s="1354"/>
      <c r="C57" s="1354"/>
      <c r="D57" s="1354"/>
      <c r="E57" s="1354"/>
      <c r="F57" s="1354"/>
      <c r="G57" s="1354"/>
      <c r="H57" s="1354"/>
      <c r="I57" s="1354"/>
      <c r="J57" s="1354"/>
      <c r="K57" s="1354"/>
      <c r="L57" s="1354"/>
      <c r="M57" s="1354"/>
      <c r="N57" s="1354"/>
      <c r="O57" s="1354"/>
      <c r="P57" s="1354"/>
      <c r="Q57" s="1354"/>
      <c r="R57" s="1354"/>
      <c r="S57" s="1354"/>
      <c r="T57" s="1354"/>
      <c r="U57" s="1354"/>
      <c r="V57" s="1354"/>
      <c r="W57" s="1354"/>
      <c r="X57" s="1354"/>
      <c r="Y57" s="1354"/>
      <c r="Z57" s="1354"/>
      <c r="AA57" s="1354"/>
      <c r="AB57" s="1354"/>
      <c r="AC57" s="1354"/>
      <c r="AD57" s="1354"/>
      <c r="AE57" s="1354"/>
      <c r="AF57" s="1354"/>
      <c r="AG57" s="1354"/>
      <c r="AH57" s="1354"/>
      <c r="AI57" s="1354"/>
      <c r="AJ57" s="1354"/>
      <c r="AK57" s="1354"/>
      <c r="AL57" s="1354"/>
      <c r="AM57" s="1354"/>
      <c r="AN57" s="1354"/>
      <c r="AO57" s="1354"/>
      <c r="AP57" s="1354"/>
      <c r="AQ57" s="1354"/>
      <c r="AR57" s="1354"/>
      <c r="AS57" s="1354"/>
      <c r="AT57" s="1354"/>
      <c r="BD57" s="1176" t="s">
        <v>2473</v>
      </c>
      <c r="BE57" s="1178" t="str">
        <f>Application!H296</f>
        <v>CRP Affordable Housing and Community Development LLC</v>
      </c>
    </row>
    <row r="58" spans="1:57" ht="12.9" customHeight="1">
      <c r="A58" s="1354"/>
      <c r="B58" s="1354"/>
      <c r="C58" s="1354"/>
      <c r="D58" s="1354"/>
      <c r="E58" s="1354"/>
      <c r="F58" s="1354"/>
      <c r="G58" s="1354"/>
      <c r="H58" s="1354"/>
      <c r="I58" s="1354"/>
      <c r="J58" s="1354"/>
      <c r="K58" s="1354"/>
      <c r="L58" s="1354"/>
      <c r="M58" s="1354"/>
      <c r="N58" s="1354"/>
      <c r="O58" s="1354"/>
      <c r="P58" s="1354"/>
      <c r="Q58" s="1354"/>
      <c r="R58" s="1354"/>
      <c r="S58" s="1354"/>
      <c r="T58" s="1354"/>
      <c r="U58" s="1354"/>
      <c r="V58" s="1354"/>
      <c r="W58" s="1354"/>
      <c r="X58" s="1354"/>
      <c r="Y58" s="1354"/>
      <c r="Z58" s="1354"/>
      <c r="AA58" s="1354"/>
      <c r="AB58" s="1354"/>
      <c r="AC58" s="1354"/>
      <c r="AD58" s="1354"/>
      <c r="AE58" s="1354"/>
      <c r="AF58" s="1354"/>
      <c r="AG58" s="1354"/>
      <c r="AH58" s="1354"/>
      <c r="AI58" s="1354"/>
      <c r="AJ58" s="1354"/>
      <c r="AK58" s="1354"/>
      <c r="AL58" s="1354"/>
      <c r="AM58" s="1354"/>
      <c r="AN58" s="1354"/>
      <c r="AO58" s="1354"/>
      <c r="AP58" s="1354"/>
      <c r="AQ58" s="1354"/>
      <c r="AR58" s="1354"/>
      <c r="AS58" s="1354"/>
      <c r="AT58" s="1354"/>
      <c r="BD58" s="1177" t="s">
        <v>2474</v>
      </c>
      <c r="BE58" s="1178" t="str">
        <f>Application!H297</f>
        <v>122 E 42nd Street, Suite 1903</v>
      </c>
    </row>
    <row r="59" spans="1:57" ht="12.9"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New York, NY 10168</v>
      </c>
    </row>
    <row r="60" spans="1:57" ht="12.9" customHeight="1">
      <c r="A60" s="1354" t="s">
        <v>2101</v>
      </c>
      <c r="B60" s="1354"/>
      <c r="C60" s="1354"/>
      <c r="D60" s="1354"/>
      <c r="E60" s="1354"/>
      <c r="F60" s="1354"/>
      <c r="G60" s="1354"/>
      <c r="H60" s="1354"/>
      <c r="I60" s="1354"/>
      <c r="J60" s="1354"/>
      <c r="K60" s="1354"/>
      <c r="L60" s="1354"/>
      <c r="M60" s="1354"/>
      <c r="N60" s="1354"/>
      <c r="O60" s="1354"/>
      <c r="P60" s="1354"/>
      <c r="Q60" s="1354"/>
      <c r="R60" s="1354"/>
      <c r="S60" s="1354"/>
      <c r="T60" s="1354"/>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20"/>
      <c r="AV60" s="20"/>
      <c r="AW60" s="20"/>
      <c r="AX60" s="20"/>
      <c r="AY60" s="20"/>
      <c r="AZ60" s="20"/>
      <c r="BD60" s="1177" t="s">
        <v>2476</v>
      </c>
      <c r="BE60" s="1178" t="str">
        <f>Application!H299</f>
        <v>Paul Salib</v>
      </c>
    </row>
    <row r="61" spans="1:57" ht="12.9" customHeight="1">
      <c r="A61" s="1354"/>
      <c r="B61" s="1354"/>
      <c r="C61" s="1354"/>
      <c r="D61" s="1354"/>
      <c r="E61" s="1354"/>
      <c r="F61" s="1354"/>
      <c r="G61" s="1354"/>
      <c r="H61" s="1354"/>
      <c r="I61" s="1354"/>
      <c r="J61" s="1354"/>
      <c r="K61" s="1354"/>
      <c r="L61" s="1354"/>
      <c r="M61" s="1354"/>
      <c r="N61" s="1354"/>
      <c r="O61" s="1354"/>
      <c r="P61" s="1354"/>
      <c r="Q61" s="1354"/>
      <c r="R61" s="1354"/>
      <c r="S61" s="1354"/>
      <c r="T61" s="1354"/>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20"/>
      <c r="AV61" s="20"/>
      <c r="AW61" s="20"/>
      <c r="AX61" s="20"/>
      <c r="AY61" s="20"/>
      <c r="AZ61" s="20"/>
      <c r="BD61" s="1176" t="s">
        <v>2477</v>
      </c>
      <c r="BE61" s="1178" t="str">
        <f>Application!H302</f>
        <v>psalib@crpaffordable.com</v>
      </c>
    </row>
    <row r="62" spans="1:57" ht="12.9"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0.81991792743624003</v>
      </c>
    </row>
    <row r="63" spans="1:57" ht="12.9"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2.9"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2.9" customHeight="1">
      <c r="A65" s="1569" t="s">
        <v>2103</v>
      </c>
      <c r="B65" s="1569"/>
      <c r="C65" s="1569"/>
      <c r="D65" s="1569"/>
      <c r="E65" s="1569"/>
      <c r="F65" s="1569"/>
      <c r="G65" s="1569"/>
      <c r="H65" s="1569"/>
      <c r="I65" s="1569"/>
      <c r="J65" s="1569"/>
      <c r="K65" s="1569"/>
      <c r="L65" s="1569"/>
      <c r="M65" s="1569"/>
      <c r="N65" s="1569"/>
      <c r="O65" s="1569"/>
      <c r="P65" s="1569"/>
      <c r="Q65" s="1569"/>
      <c r="R65" s="1569"/>
      <c r="S65" s="1569"/>
      <c r="T65" s="1569"/>
      <c r="U65" s="1569"/>
      <c r="V65" s="1569"/>
      <c r="W65" s="1569"/>
      <c r="X65" s="1569"/>
      <c r="Y65" s="1569"/>
      <c r="Z65" s="1569"/>
      <c r="AA65" s="1569"/>
      <c r="AB65" s="1569"/>
      <c r="AC65" s="1569"/>
      <c r="AD65" s="1569"/>
      <c r="AE65" s="1569"/>
      <c r="AF65" s="1569"/>
      <c r="AG65" s="1569"/>
      <c r="AH65" s="1569"/>
      <c r="AI65" s="1569"/>
      <c r="AJ65" s="1569"/>
      <c r="AK65" s="1569"/>
      <c r="AL65" s="1569"/>
      <c r="AM65" s="1569"/>
      <c r="AN65" s="1569"/>
      <c r="AO65" s="1569"/>
      <c r="AP65" s="1569"/>
      <c r="AQ65" s="1569"/>
      <c r="AR65" s="1569"/>
      <c r="AS65" s="1569"/>
      <c r="AT65" s="1569"/>
      <c r="AU65" s="21"/>
      <c r="AV65" s="21"/>
      <c r="AW65" s="21"/>
      <c r="AX65" s="21"/>
      <c r="AY65" s="21"/>
      <c r="AZ65" s="20"/>
      <c r="BD65" s="1176" t="s">
        <v>2513</v>
      </c>
      <c r="BE65" s="1178" t="str">
        <f>Z205</f>
        <v>$500M</v>
      </c>
    </row>
    <row r="66" spans="1:57" ht="12.9" customHeight="1">
      <c r="A66" s="1569"/>
      <c r="B66" s="1569"/>
      <c r="C66" s="1569"/>
      <c r="D66" s="1569"/>
      <c r="E66" s="1569"/>
      <c r="F66" s="1569"/>
      <c r="G66" s="1569"/>
      <c r="H66" s="1569"/>
      <c r="I66" s="1569"/>
      <c r="J66" s="1569"/>
      <c r="K66" s="1569"/>
      <c r="L66" s="1569"/>
      <c r="M66" s="1569"/>
      <c r="N66" s="1569"/>
      <c r="O66" s="1569"/>
      <c r="P66" s="1569"/>
      <c r="Q66" s="1569"/>
      <c r="R66" s="1569"/>
      <c r="S66" s="1569"/>
      <c r="T66" s="1569"/>
      <c r="U66" s="1569"/>
      <c r="V66" s="1569"/>
      <c r="W66" s="1569"/>
      <c r="X66" s="1569"/>
      <c r="Y66" s="1569"/>
      <c r="Z66" s="1569"/>
      <c r="AA66" s="1569"/>
      <c r="AB66" s="1569"/>
      <c r="AC66" s="1569"/>
      <c r="AD66" s="1569"/>
      <c r="AE66" s="1569"/>
      <c r="AF66" s="1569"/>
      <c r="AG66" s="1569"/>
      <c r="AH66" s="1569"/>
      <c r="AI66" s="1569"/>
      <c r="AJ66" s="1569"/>
      <c r="AK66" s="1569"/>
      <c r="AL66" s="1569"/>
      <c r="AM66" s="1569"/>
      <c r="AN66" s="1569"/>
      <c r="AO66" s="1569"/>
      <c r="AP66" s="1569"/>
      <c r="AQ66" s="1569"/>
      <c r="AR66" s="1569"/>
      <c r="AS66" s="1569"/>
      <c r="AT66" s="1569"/>
      <c r="AU66" s="21"/>
      <c r="AV66" s="21"/>
      <c r="AW66" s="21"/>
      <c r="AX66" s="21"/>
      <c r="AY66" s="21"/>
      <c r="AZ66" s="20"/>
      <c r="BD66" s="1177" t="s">
        <v>2480</v>
      </c>
      <c r="BE66" s="1178" t="b">
        <f>Application!Z205="State Farmworker Credit"</f>
        <v>0</v>
      </c>
    </row>
    <row r="67" spans="1:57" ht="12.9" customHeight="1">
      <c r="A67" s="1569"/>
      <c r="B67" s="1569"/>
      <c r="C67" s="1569"/>
      <c r="D67" s="1569"/>
      <c r="E67" s="1569"/>
      <c r="F67" s="1569"/>
      <c r="G67" s="1569"/>
      <c r="H67" s="1569"/>
      <c r="I67" s="1569"/>
      <c r="J67" s="1569"/>
      <c r="K67" s="1569"/>
      <c r="L67" s="1569"/>
      <c r="M67" s="1569"/>
      <c r="N67" s="1569"/>
      <c r="O67" s="1569"/>
      <c r="P67" s="1569"/>
      <c r="Q67" s="1569"/>
      <c r="R67" s="1569"/>
      <c r="S67" s="1569"/>
      <c r="T67" s="1569"/>
      <c r="U67" s="1569"/>
      <c r="V67" s="1569"/>
      <c r="W67" s="1569"/>
      <c r="X67" s="1569"/>
      <c r="Y67" s="1569"/>
      <c r="Z67" s="1569"/>
      <c r="AA67" s="1569"/>
      <c r="AB67" s="1569"/>
      <c r="AC67" s="1569"/>
      <c r="AD67" s="1569"/>
      <c r="AE67" s="1569"/>
      <c r="AF67" s="1569"/>
      <c r="AG67" s="1569"/>
      <c r="AH67" s="1569"/>
      <c r="AI67" s="1569"/>
      <c r="AJ67" s="1569"/>
      <c r="AK67" s="1569"/>
      <c r="AL67" s="1569"/>
      <c r="AM67" s="1569"/>
      <c r="AN67" s="1569"/>
      <c r="AO67" s="1569"/>
      <c r="AP67" s="1569"/>
      <c r="AQ67" s="1569"/>
      <c r="AR67" s="1569"/>
      <c r="AS67" s="1569"/>
      <c r="AT67" s="1569"/>
      <c r="AZ67" s="20"/>
      <c r="BD67" s="1176" t="s">
        <v>2481</v>
      </c>
      <c r="BE67" s="1178" t="b">
        <f>Application!O33="Yes"</f>
        <v>0</v>
      </c>
    </row>
    <row r="68" spans="1:57" ht="12.9"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2.9" customHeight="1">
      <c r="A69" s="1569" t="s">
        <v>2104</v>
      </c>
      <c r="B69" s="1569"/>
      <c r="C69" s="1569"/>
      <c r="D69" s="1569"/>
      <c r="E69" s="1569"/>
      <c r="F69" s="1569"/>
      <c r="G69" s="1569"/>
      <c r="H69" s="1569"/>
      <c r="I69" s="1569"/>
      <c r="J69" s="1569"/>
      <c r="K69" s="1569"/>
      <c r="L69" s="1569"/>
      <c r="M69" s="1569"/>
      <c r="N69" s="1569"/>
      <c r="O69" s="1569"/>
      <c r="P69" s="1569"/>
      <c r="Q69" s="1569"/>
      <c r="R69" s="1569"/>
      <c r="S69" s="1569"/>
      <c r="T69" s="1569"/>
      <c r="U69" s="1569"/>
      <c r="V69" s="1569"/>
      <c r="W69" s="1569"/>
      <c r="X69" s="1569"/>
      <c r="Y69" s="1569"/>
      <c r="Z69" s="1569"/>
      <c r="AA69" s="1569"/>
      <c r="AB69" s="1569"/>
      <c r="AC69" s="1569"/>
      <c r="AD69" s="1569"/>
      <c r="AE69" s="1569"/>
      <c r="AF69" s="1569"/>
      <c r="AG69" s="1569"/>
      <c r="AH69" s="1569"/>
      <c r="AI69" s="1569"/>
      <c r="AJ69" s="1569"/>
      <c r="AK69" s="1569"/>
      <c r="AL69" s="1569"/>
      <c r="AM69" s="1569"/>
      <c r="AN69" s="1569"/>
      <c r="AO69" s="1569"/>
      <c r="AP69" s="1569"/>
      <c r="AQ69" s="1569"/>
      <c r="AR69" s="1569"/>
      <c r="AS69" s="1569"/>
      <c r="AT69" s="1569"/>
      <c r="AZ69" s="20"/>
      <c r="BD69" s="1176" t="s">
        <v>2483</v>
      </c>
      <c r="BE69" s="1178" t="str">
        <f>Application!W708</f>
        <v>California Housing Finance Authority</v>
      </c>
    </row>
    <row r="70" spans="1:57" ht="12.9" customHeight="1">
      <c r="A70" s="1569"/>
      <c r="B70" s="1569"/>
      <c r="C70" s="1569"/>
      <c r="D70" s="1569"/>
      <c r="E70" s="1569"/>
      <c r="F70" s="1569"/>
      <c r="G70" s="1569"/>
      <c r="H70" s="1569"/>
      <c r="I70" s="1569"/>
      <c r="J70" s="1569"/>
      <c r="K70" s="1569"/>
      <c r="L70" s="1569"/>
      <c r="M70" s="1569"/>
      <c r="N70" s="1569"/>
      <c r="O70" s="1569"/>
      <c r="P70" s="1569"/>
      <c r="Q70" s="1569"/>
      <c r="R70" s="1569"/>
      <c r="S70" s="1569"/>
      <c r="T70" s="1569"/>
      <c r="U70" s="1569"/>
      <c r="V70" s="1569"/>
      <c r="W70" s="1569"/>
      <c r="X70" s="1569"/>
      <c r="Y70" s="1569"/>
      <c r="Z70" s="1569"/>
      <c r="AA70" s="1569"/>
      <c r="AB70" s="1569"/>
      <c r="AC70" s="1569"/>
      <c r="AD70" s="1569"/>
      <c r="AE70" s="1569"/>
      <c r="AF70" s="1569"/>
      <c r="AG70" s="1569"/>
      <c r="AH70" s="1569"/>
      <c r="AI70" s="1569"/>
      <c r="AJ70" s="1569"/>
      <c r="AK70" s="1569"/>
      <c r="AL70" s="1569"/>
      <c r="AM70" s="1569"/>
      <c r="AN70" s="1569"/>
      <c r="AO70" s="1569"/>
      <c r="AP70" s="1569"/>
      <c r="AQ70" s="1569"/>
      <c r="AR70" s="1569"/>
      <c r="AS70" s="1569"/>
      <c r="AT70" s="1569"/>
      <c r="AU70" s="20"/>
      <c r="AV70" s="20"/>
      <c r="AW70" s="20"/>
      <c r="AX70" s="20"/>
      <c r="AY70" s="20"/>
      <c r="AZ70" s="20"/>
      <c r="BD70" s="1177" t="s">
        <v>2484</v>
      </c>
      <c r="BE70" s="1178">
        <f ca="1">'Points System'!AF893</f>
        <v>111</v>
      </c>
    </row>
    <row r="71" spans="1:57" ht="12.9"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2605</v>
      </c>
      <c r="BE71" s="1178">
        <f>'Points System'!AF876</f>
        <v>0</v>
      </c>
    </row>
    <row r="72" spans="1:57" ht="12.9" customHeight="1">
      <c r="A72" s="1567" t="s">
        <v>2105</v>
      </c>
      <c r="B72" s="1567"/>
      <c r="C72" s="1567"/>
      <c r="D72" s="1567"/>
      <c r="E72" s="1567"/>
      <c r="F72" s="1567"/>
      <c r="G72" s="1567"/>
      <c r="H72" s="1567"/>
      <c r="I72" s="1567"/>
      <c r="J72" s="1567"/>
      <c r="K72" s="1567"/>
      <c r="L72" s="1567"/>
      <c r="M72" s="1567"/>
      <c r="N72" s="1567"/>
      <c r="O72" s="1567"/>
      <c r="P72" s="1567"/>
      <c r="Q72" s="1567"/>
      <c r="R72" s="1567"/>
      <c r="S72" s="1567"/>
      <c r="T72" s="1567"/>
      <c r="U72" s="1567"/>
      <c r="V72" s="1567"/>
      <c r="W72" s="1567"/>
      <c r="X72" s="1567"/>
      <c r="Y72" s="1567"/>
      <c r="Z72" s="1567"/>
      <c r="AA72" s="1567"/>
      <c r="AB72" s="1567"/>
      <c r="AC72" s="1567"/>
      <c r="AD72" s="1567"/>
      <c r="AE72" s="1567"/>
      <c r="AF72" s="1567"/>
      <c r="AG72" s="1567"/>
      <c r="AH72" s="1567"/>
      <c r="AI72" s="1567"/>
      <c r="AJ72" s="1567"/>
      <c r="AK72" s="1567"/>
      <c r="AL72" s="1567"/>
      <c r="AM72" s="1567"/>
      <c r="AN72" s="1567"/>
      <c r="AO72" s="1567"/>
      <c r="AP72" s="1567"/>
      <c r="AQ72" s="1567"/>
      <c r="AR72" s="1567"/>
      <c r="AS72" s="1567"/>
      <c r="AT72" s="1567"/>
      <c r="AU72" s="20"/>
      <c r="AV72" s="20"/>
      <c r="AW72" s="20"/>
      <c r="AX72" s="20"/>
      <c r="AY72" s="20"/>
      <c r="AZ72" s="20"/>
      <c r="BD72" s="1177" t="s">
        <v>2485</v>
      </c>
      <c r="BE72" s="1178">
        <f>'Points System'!AF877</f>
        <v>10</v>
      </c>
    </row>
    <row r="73" spans="1:57" ht="12.9" customHeight="1">
      <c r="A73" s="1567"/>
      <c r="B73" s="1567"/>
      <c r="C73" s="1567"/>
      <c r="D73" s="1567"/>
      <c r="E73" s="1567"/>
      <c r="F73" s="1567"/>
      <c r="G73" s="1567"/>
      <c r="H73" s="1567"/>
      <c r="I73" s="1567"/>
      <c r="J73" s="1567"/>
      <c r="K73" s="1567"/>
      <c r="L73" s="1567"/>
      <c r="M73" s="1567"/>
      <c r="N73" s="1567"/>
      <c r="O73" s="1567"/>
      <c r="P73" s="1567"/>
      <c r="Q73" s="1567"/>
      <c r="R73" s="1567"/>
      <c r="S73" s="1567"/>
      <c r="T73" s="1567"/>
      <c r="U73" s="1567"/>
      <c r="V73" s="1567"/>
      <c r="W73" s="1567"/>
      <c r="X73" s="1567"/>
      <c r="Y73" s="1567"/>
      <c r="Z73" s="1567"/>
      <c r="AA73" s="1567"/>
      <c r="AB73" s="1567"/>
      <c r="AC73" s="1567"/>
      <c r="AD73" s="1567"/>
      <c r="AE73" s="1567"/>
      <c r="AF73" s="1567"/>
      <c r="AG73" s="1567"/>
      <c r="AH73" s="1567"/>
      <c r="AI73" s="1567"/>
      <c r="AJ73" s="1567"/>
      <c r="AK73" s="1567"/>
      <c r="AL73" s="1567"/>
      <c r="AM73" s="1567"/>
      <c r="AN73" s="1567"/>
      <c r="AO73" s="1567"/>
      <c r="AP73" s="1567"/>
      <c r="AQ73" s="1567"/>
      <c r="AR73" s="1567"/>
      <c r="AS73" s="1567"/>
      <c r="AT73" s="1567"/>
      <c r="AU73" s="20"/>
      <c r="AV73" s="20"/>
      <c r="AW73" s="20"/>
      <c r="AX73" s="20"/>
      <c r="AY73" s="20"/>
      <c r="AZ73" s="20"/>
      <c r="BD73" s="1176" t="s">
        <v>2486</v>
      </c>
      <c r="BE73" s="1178">
        <f ca="1">'Points System'!AF878</f>
        <v>20</v>
      </c>
    </row>
    <row r="74" spans="1:57" ht="12.9"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2.9" customHeight="1">
      <c r="A75" s="1875" t="s">
        <v>2106</v>
      </c>
      <c r="B75" s="1875"/>
      <c r="C75" s="1875"/>
      <c r="D75" s="1875"/>
      <c r="E75" s="1875"/>
      <c r="F75" s="1875"/>
      <c r="G75" s="1875"/>
      <c r="H75" s="1875"/>
      <c r="I75" s="1875"/>
      <c r="J75" s="1875"/>
      <c r="K75" s="1875"/>
      <c r="L75" s="1875"/>
      <c r="M75" s="1875"/>
      <c r="N75" s="1875"/>
      <c r="O75" s="1875"/>
      <c r="P75" s="1875"/>
      <c r="Q75" s="1875"/>
      <c r="R75" s="1875"/>
      <c r="S75" s="1875"/>
      <c r="T75" s="1875"/>
      <c r="U75" s="1875"/>
      <c r="V75" s="1875"/>
      <c r="W75" s="1875"/>
      <c r="X75" s="1875"/>
      <c r="Y75" s="1875"/>
      <c r="Z75" s="1875"/>
      <c r="AA75" s="1875"/>
      <c r="AB75" s="1875"/>
      <c r="AC75" s="1875"/>
      <c r="AD75" s="1875"/>
      <c r="AE75" s="1875"/>
      <c r="AF75" s="1875"/>
      <c r="AG75" s="1875"/>
      <c r="AH75" s="1875"/>
      <c r="AI75" s="1875"/>
      <c r="AJ75" s="1875"/>
      <c r="AK75" s="1875"/>
      <c r="AL75" s="1875"/>
      <c r="AM75" s="1875"/>
      <c r="AN75" s="1875"/>
      <c r="AO75" s="1875"/>
      <c r="AP75" s="1875"/>
      <c r="AQ75" s="1875"/>
      <c r="AR75" s="1875"/>
      <c r="AS75" s="1875"/>
      <c r="AT75" s="1875"/>
      <c r="AU75" s="20"/>
      <c r="AV75" s="20"/>
      <c r="AW75" s="20"/>
      <c r="AX75" s="20"/>
      <c r="AY75" s="20"/>
      <c r="AZ75" s="20"/>
      <c r="BD75" s="1176" t="s">
        <v>2488</v>
      </c>
      <c r="BE75" s="1178">
        <f>'Points System'!AF880</f>
        <v>10</v>
      </c>
    </row>
    <row r="76" spans="1:57" ht="12.9" customHeight="1">
      <c r="A76" s="1875"/>
      <c r="B76" s="1875"/>
      <c r="C76" s="1875"/>
      <c r="D76" s="1875"/>
      <c r="E76" s="1875"/>
      <c r="F76" s="1875"/>
      <c r="G76" s="1875"/>
      <c r="H76" s="1875"/>
      <c r="I76" s="1875"/>
      <c r="J76" s="1875"/>
      <c r="K76" s="1875"/>
      <c r="L76" s="1875"/>
      <c r="M76" s="1875"/>
      <c r="N76" s="1875"/>
      <c r="O76" s="1875"/>
      <c r="P76" s="1875"/>
      <c r="Q76" s="1875"/>
      <c r="R76" s="1875"/>
      <c r="S76" s="1875"/>
      <c r="T76" s="1875"/>
      <c r="U76" s="1875"/>
      <c r="V76" s="1875"/>
      <c r="W76" s="1875"/>
      <c r="X76" s="1875"/>
      <c r="Y76" s="1875"/>
      <c r="Z76" s="1875"/>
      <c r="AA76" s="1875"/>
      <c r="AB76" s="1875"/>
      <c r="AC76" s="1875"/>
      <c r="AD76" s="1875"/>
      <c r="AE76" s="1875"/>
      <c r="AF76" s="1875"/>
      <c r="AG76" s="1875"/>
      <c r="AH76" s="1875"/>
      <c r="AI76" s="1875"/>
      <c r="AJ76" s="1875"/>
      <c r="AK76" s="1875"/>
      <c r="AL76" s="1875"/>
      <c r="AM76" s="1875"/>
      <c r="AN76" s="1875"/>
      <c r="AO76" s="1875"/>
      <c r="AP76" s="1875"/>
      <c r="AQ76" s="1875"/>
      <c r="AR76" s="1875"/>
      <c r="AS76" s="1875"/>
      <c r="AT76" s="1875"/>
      <c r="AU76" s="20"/>
      <c r="AV76" s="20"/>
      <c r="AW76" s="20"/>
      <c r="AX76" s="20"/>
      <c r="AY76" s="20"/>
      <c r="AZ76" s="17"/>
      <c r="BD76" s="1177" t="s">
        <v>2489</v>
      </c>
      <c r="BE76" s="1178">
        <f>'Points System'!AF883</f>
        <v>10</v>
      </c>
    </row>
    <row r="77" spans="1:57" ht="12.9" customHeight="1">
      <c r="A77" s="1875"/>
      <c r="B77" s="1875"/>
      <c r="C77" s="1875"/>
      <c r="D77" s="1875"/>
      <c r="E77" s="1875"/>
      <c r="F77" s="1875"/>
      <c r="G77" s="1875"/>
      <c r="H77" s="1875"/>
      <c r="I77" s="1875"/>
      <c r="J77" s="1875"/>
      <c r="K77" s="1875"/>
      <c r="L77" s="1875"/>
      <c r="M77" s="1875"/>
      <c r="N77" s="1875"/>
      <c r="O77" s="1875"/>
      <c r="P77" s="1875"/>
      <c r="Q77" s="1875"/>
      <c r="R77" s="1875"/>
      <c r="S77" s="1875"/>
      <c r="T77" s="1875"/>
      <c r="U77" s="1875"/>
      <c r="V77" s="1875"/>
      <c r="W77" s="1875"/>
      <c r="X77" s="1875"/>
      <c r="Y77" s="1875"/>
      <c r="Z77" s="1875"/>
      <c r="AA77" s="1875"/>
      <c r="AB77" s="1875"/>
      <c r="AC77" s="1875"/>
      <c r="AD77" s="1875"/>
      <c r="AE77" s="1875"/>
      <c r="AF77" s="1875"/>
      <c r="AG77" s="1875"/>
      <c r="AH77" s="1875"/>
      <c r="AI77" s="1875"/>
      <c r="AJ77" s="1875"/>
      <c r="AK77" s="1875"/>
      <c r="AL77" s="1875"/>
      <c r="AM77" s="1875"/>
      <c r="AN77" s="1875"/>
      <c r="AO77" s="1875"/>
      <c r="AP77" s="1875"/>
      <c r="AQ77" s="1875"/>
      <c r="AR77" s="1875"/>
      <c r="AS77" s="1875"/>
      <c r="AT77" s="1875"/>
      <c r="AU77" s="20"/>
      <c r="AV77" s="20"/>
      <c r="AW77" s="20"/>
      <c r="AX77" s="20"/>
      <c r="AY77" s="20"/>
      <c r="AZ77" s="17"/>
      <c r="BD77" s="1176" t="s">
        <v>2490</v>
      </c>
      <c r="BE77" s="1178">
        <f>'Points System'!AF884</f>
        <v>0</v>
      </c>
    </row>
    <row r="78" spans="1:57" ht="12.9"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10</v>
      </c>
    </row>
    <row r="79" spans="1:57" ht="12.9" customHeight="1">
      <c r="A79" s="1569" t="s">
        <v>2107</v>
      </c>
      <c r="B79" s="1569"/>
      <c r="C79" s="1569"/>
      <c r="D79" s="1569"/>
      <c r="E79" s="1569"/>
      <c r="F79" s="1569"/>
      <c r="G79" s="1569"/>
      <c r="H79" s="1569"/>
      <c r="I79" s="1569"/>
      <c r="J79" s="1569"/>
      <c r="K79" s="1569"/>
      <c r="L79" s="1569"/>
      <c r="M79" s="1569"/>
      <c r="N79" s="1569"/>
      <c r="O79" s="1569"/>
      <c r="P79" s="1569"/>
      <c r="Q79" s="1569"/>
      <c r="R79" s="1569"/>
      <c r="S79" s="1569"/>
      <c r="T79" s="1569"/>
      <c r="U79" s="1569"/>
      <c r="V79" s="1569"/>
      <c r="W79" s="1569"/>
      <c r="X79" s="1569"/>
      <c r="Y79" s="1569"/>
      <c r="Z79" s="1569"/>
      <c r="AA79" s="1569"/>
      <c r="AB79" s="1569"/>
      <c r="AC79" s="1569"/>
      <c r="AD79" s="1569"/>
      <c r="AE79" s="1569"/>
      <c r="AF79" s="1569"/>
      <c r="AG79" s="1569"/>
      <c r="AH79" s="1569"/>
      <c r="AI79" s="1569"/>
      <c r="AJ79" s="1569"/>
      <c r="AK79" s="1569"/>
      <c r="AL79" s="1569"/>
      <c r="AM79" s="1569"/>
      <c r="AN79" s="1569"/>
      <c r="AO79" s="1569"/>
      <c r="AP79" s="1569"/>
      <c r="AQ79" s="1569"/>
      <c r="AR79" s="1569"/>
      <c r="AS79" s="1569"/>
      <c r="AT79" s="1569"/>
      <c r="AU79" s="20"/>
      <c r="AV79" s="20"/>
      <c r="AW79" s="20"/>
      <c r="AX79" s="20"/>
      <c r="AY79" s="20"/>
      <c r="AZ79" s="20"/>
      <c r="BD79" s="1176" t="s">
        <v>2606</v>
      </c>
      <c r="BE79" s="1178">
        <f>'Points System'!AF887</f>
        <v>9</v>
      </c>
    </row>
    <row r="80" spans="1:57" ht="12.9" customHeight="1">
      <c r="A80" s="1569"/>
      <c r="B80" s="1569"/>
      <c r="C80" s="1569"/>
      <c r="D80" s="1569"/>
      <c r="E80" s="1569"/>
      <c r="F80" s="1569"/>
      <c r="G80" s="1569"/>
      <c r="H80" s="1569"/>
      <c r="I80" s="1569"/>
      <c r="J80" s="1569"/>
      <c r="K80" s="1569"/>
      <c r="L80" s="1569"/>
      <c r="M80" s="1569"/>
      <c r="N80" s="1569"/>
      <c r="O80" s="1569"/>
      <c r="P80" s="1569"/>
      <c r="Q80" s="1569"/>
      <c r="R80" s="1569"/>
      <c r="S80" s="1569"/>
      <c r="T80" s="1569"/>
      <c r="U80" s="1569"/>
      <c r="V80" s="1569"/>
      <c r="W80" s="1569"/>
      <c r="X80" s="1569"/>
      <c r="Y80" s="1569"/>
      <c r="Z80" s="1569"/>
      <c r="AA80" s="1569"/>
      <c r="AB80" s="1569"/>
      <c r="AC80" s="1569"/>
      <c r="AD80" s="1569"/>
      <c r="AE80" s="1569"/>
      <c r="AF80" s="1569"/>
      <c r="AG80" s="1569"/>
      <c r="AH80" s="1569"/>
      <c r="AI80" s="1569"/>
      <c r="AJ80" s="1569"/>
      <c r="AK80" s="1569"/>
      <c r="AL80" s="1569"/>
      <c r="AM80" s="1569"/>
      <c r="AN80" s="1569"/>
      <c r="AO80" s="1569"/>
      <c r="AP80" s="1569"/>
      <c r="AQ80" s="1569"/>
      <c r="AR80" s="1569"/>
      <c r="AS80" s="1569"/>
      <c r="AT80" s="1569"/>
      <c r="AU80" s="20"/>
      <c r="AV80" s="20"/>
      <c r="AW80" s="20"/>
      <c r="AX80" s="20"/>
      <c r="AY80" s="20"/>
      <c r="AZ80" s="20"/>
      <c r="BD80" s="1177" t="s">
        <v>2492</v>
      </c>
      <c r="BE80" s="1178">
        <f>'Points System'!AF889</f>
        <v>10</v>
      </c>
    </row>
    <row r="81" spans="1:57" ht="12.9" customHeight="1">
      <c r="A81" s="1569"/>
      <c r="B81" s="1569"/>
      <c r="C81" s="1569"/>
      <c r="D81" s="1569"/>
      <c r="E81" s="1569"/>
      <c r="F81" s="1569"/>
      <c r="G81" s="1569"/>
      <c r="H81" s="1569"/>
      <c r="I81" s="1569"/>
      <c r="J81" s="1569"/>
      <c r="K81" s="1569"/>
      <c r="L81" s="1569"/>
      <c r="M81" s="1569"/>
      <c r="N81" s="1569"/>
      <c r="O81" s="1569"/>
      <c r="P81" s="1569"/>
      <c r="Q81" s="1569"/>
      <c r="R81" s="1569"/>
      <c r="S81" s="1569"/>
      <c r="T81" s="1569"/>
      <c r="U81" s="1569"/>
      <c r="V81" s="1569"/>
      <c r="W81" s="1569"/>
      <c r="X81" s="1569"/>
      <c r="Y81" s="1569"/>
      <c r="Z81" s="1569"/>
      <c r="AA81" s="1569"/>
      <c r="AB81" s="1569"/>
      <c r="AC81" s="1569"/>
      <c r="AD81" s="1569"/>
      <c r="AE81" s="1569"/>
      <c r="AF81" s="1569"/>
      <c r="AG81" s="1569"/>
      <c r="AH81" s="1569"/>
      <c r="AI81" s="1569"/>
      <c r="AJ81" s="1569"/>
      <c r="AK81" s="1569"/>
      <c r="AL81" s="1569"/>
      <c r="AM81" s="1569"/>
      <c r="AN81" s="1569"/>
      <c r="AO81" s="1569"/>
      <c r="AP81" s="1569"/>
      <c r="AQ81" s="1569"/>
      <c r="AR81" s="1569"/>
      <c r="AS81" s="1569"/>
      <c r="AT81" s="1569"/>
      <c r="AU81" s="20"/>
      <c r="AV81" s="20"/>
      <c r="AW81" s="20"/>
      <c r="AX81" s="20"/>
      <c r="AY81" s="20"/>
      <c r="AZ81" s="20"/>
      <c r="BD81" s="1176" t="s">
        <v>2493</v>
      </c>
      <c r="BE81" s="1178">
        <f>'Points System'!AF890</f>
        <v>12</v>
      </c>
    </row>
    <row r="82" spans="1:57" ht="12.9"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2.9" customHeight="1">
      <c r="A83" s="1354" t="s">
        <v>2108</v>
      </c>
      <c r="B83" s="1354"/>
      <c r="C83" s="1354"/>
      <c r="D83" s="1354"/>
      <c r="E83" s="1354"/>
      <c r="F83" s="1354"/>
      <c r="G83" s="1354"/>
      <c r="H83" s="1354"/>
      <c r="I83" s="1354"/>
      <c r="J83" s="1354"/>
      <c r="K83" s="1354"/>
      <c r="L83" s="1354"/>
      <c r="M83" s="1354"/>
      <c r="N83" s="1354"/>
      <c r="O83" s="1354"/>
      <c r="P83" s="1354"/>
      <c r="Q83" s="1354"/>
      <c r="R83" s="1354"/>
      <c r="S83" s="1354"/>
      <c r="T83" s="1354"/>
      <c r="U83" s="1354"/>
      <c r="V83" s="1354"/>
      <c r="W83" s="1354"/>
      <c r="X83" s="1354"/>
      <c r="Y83" s="1354"/>
      <c r="Z83" s="1354"/>
      <c r="AA83" s="1354"/>
      <c r="AB83" s="1354"/>
      <c r="AC83" s="1354"/>
      <c r="AD83" s="1354"/>
      <c r="AE83" s="1354"/>
      <c r="AF83" s="1354"/>
      <c r="AG83" s="1354"/>
      <c r="AH83" s="1354"/>
      <c r="AI83" s="1354"/>
      <c r="AJ83" s="1354"/>
      <c r="AK83" s="1354"/>
      <c r="AL83" s="1354"/>
      <c r="AM83" s="1354"/>
      <c r="AN83" s="1354"/>
      <c r="AO83" s="1354"/>
      <c r="AP83" s="1354"/>
      <c r="AQ83" s="1354"/>
      <c r="AR83" s="1354"/>
      <c r="AS83" s="1354"/>
      <c r="AT83" s="1354"/>
      <c r="AU83" s="20"/>
      <c r="AV83" s="20"/>
      <c r="AW83" s="20"/>
      <c r="AX83" s="20"/>
      <c r="AY83" s="20"/>
      <c r="AZ83" s="20"/>
      <c r="BD83" s="1176" t="s">
        <v>2495</v>
      </c>
      <c r="BE83" s="1182">
        <f>'Tie Breaker'!H5</f>
        <v>2.1431516870495457</v>
      </c>
    </row>
    <row r="84" spans="1:57" ht="12.9" customHeight="1">
      <c r="A84" s="1354"/>
      <c r="B84" s="1354"/>
      <c r="C84" s="1354"/>
      <c r="D84" s="1354"/>
      <c r="E84" s="1354"/>
      <c r="F84" s="1354"/>
      <c r="G84" s="1354"/>
      <c r="H84" s="1354"/>
      <c r="I84" s="1354"/>
      <c r="J84" s="1354"/>
      <c r="K84" s="1354"/>
      <c r="L84" s="1354"/>
      <c r="M84" s="1354"/>
      <c r="N84" s="1354"/>
      <c r="O84" s="1354"/>
      <c r="P84" s="1354"/>
      <c r="Q84" s="1354"/>
      <c r="R84" s="1354"/>
      <c r="S84" s="1354"/>
      <c r="T84" s="1354"/>
      <c r="U84" s="1354"/>
      <c r="V84" s="1354"/>
      <c r="W84" s="1354"/>
      <c r="X84" s="1354"/>
      <c r="Y84" s="1354"/>
      <c r="Z84" s="1354"/>
      <c r="AA84" s="1354"/>
      <c r="AB84" s="1354"/>
      <c r="AC84" s="1354"/>
      <c r="AD84" s="1354"/>
      <c r="AE84" s="1354"/>
      <c r="AF84" s="1354"/>
      <c r="AG84" s="1354"/>
      <c r="AH84" s="1354"/>
      <c r="AI84" s="1354"/>
      <c r="AJ84" s="1354"/>
      <c r="AK84" s="1354"/>
      <c r="AL84" s="1354"/>
      <c r="AM84" s="1354"/>
      <c r="AN84" s="1354"/>
      <c r="AO84" s="1354"/>
      <c r="AP84" s="1354"/>
      <c r="AQ84" s="1354"/>
      <c r="AR84" s="1354"/>
      <c r="AS84" s="1354"/>
      <c r="AT84" s="1354"/>
      <c r="AU84" s="20"/>
      <c r="AV84" s="20"/>
      <c r="AW84" s="20"/>
      <c r="AX84" s="20"/>
      <c r="AY84" s="20"/>
      <c r="AZ84" s="20"/>
      <c r="BD84" s="1177" t="s">
        <v>2496</v>
      </c>
      <c r="BE84" s="1178" t="str">
        <f>Application!O153</f>
        <v>City of Gilroy, Housing and Community Development Department</v>
      </c>
    </row>
    <row r="85" spans="1:57" ht="12.9"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Ms.Marilyn L. Roaf</v>
      </c>
    </row>
    <row r="86" spans="1:57" ht="12.9" customHeight="1">
      <c r="A86" s="1354" t="s">
        <v>2109</v>
      </c>
      <c r="B86" s="1354"/>
      <c r="C86" s="1354"/>
      <c r="D86" s="1354"/>
      <c r="E86" s="1354"/>
      <c r="F86" s="1354"/>
      <c r="G86" s="1354"/>
      <c r="H86" s="1354"/>
      <c r="I86" s="1354"/>
      <c r="J86" s="1354"/>
      <c r="K86" s="1354"/>
      <c r="L86" s="1354"/>
      <c r="M86" s="1354"/>
      <c r="N86" s="1354"/>
      <c r="O86" s="1354"/>
      <c r="P86" s="1354"/>
      <c r="Q86" s="1354"/>
      <c r="R86" s="1354"/>
      <c r="S86" s="1354"/>
      <c r="T86" s="1354"/>
      <c r="U86" s="1354"/>
      <c r="V86" s="1354"/>
      <c r="W86" s="1354"/>
      <c r="X86" s="1354"/>
      <c r="Y86" s="1354"/>
      <c r="Z86" s="1354"/>
      <c r="AA86" s="1354"/>
      <c r="AB86" s="1354"/>
      <c r="AC86" s="1354"/>
      <c r="AD86" s="1354"/>
      <c r="AE86" s="1354"/>
      <c r="AF86" s="1354"/>
      <c r="AG86" s="1354"/>
      <c r="AH86" s="1354"/>
      <c r="AI86" s="1354"/>
      <c r="AJ86" s="1354"/>
      <c r="AK86" s="1354"/>
      <c r="AL86" s="1354"/>
      <c r="AM86" s="1354"/>
      <c r="AN86" s="1354"/>
      <c r="AO86" s="1354"/>
      <c r="AP86" s="1354"/>
      <c r="AQ86" s="1354"/>
      <c r="AR86" s="1354"/>
      <c r="AS86" s="1354"/>
      <c r="AT86" s="1354"/>
      <c r="AU86" s="20"/>
      <c r="AV86" s="20"/>
      <c r="AW86" s="20"/>
      <c r="AX86" s="20"/>
      <c r="AY86" s="20"/>
      <c r="AZ86" s="20"/>
      <c r="BD86" s="1177" t="s">
        <v>2498</v>
      </c>
      <c r="BE86" s="1178" t="str">
        <f>Application!O155</f>
        <v>HCD Coordinator</v>
      </c>
    </row>
    <row r="87" spans="1:57" ht="12.9" customHeight="1">
      <c r="A87" s="1354"/>
      <c r="B87" s="1354"/>
      <c r="C87" s="1354"/>
      <c r="D87" s="1354"/>
      <c r="E87" s="1354"/>
      <c r="F87" s="1354"/>
      <c r="G87" s="1354"/>
      <c r="H87" s="1354"/>
      <c r="I87" s="1354"/>
      <c r="J87" s="1354"/>
      <c r="K87" s="1354"/>
      <c r="L87" s="1354"/>
      <c r="M87" s="1354"/>
      <c r="N87" s="1354"/>
      <c r="O87" s="1354"/>
      <c r="P87" s="1354"/>
      <c r="Q87" s="1354"/>
      <c r="R87" s="1354"/>
      <c r="S87" s="1354"/>
      <c r="T87" s="1354"/>
      <c r="U87" s="1354"/>
      <c r="V87" s="1354"/>
      <c r="W87" s="1354"/>
      <c r="X87" s="1354"/>
      <c r="Y87" s="1354"/>
      <c r="Z87" s="1354"/>
      <c r="AA87" s="1354"/>
      <c r="AB87" s="1354"/>
      <c r="AC87" s="1354"/>
      <c r="AD87" s="1354"/>
      <c r="AE87" s="1354"/>
      <c r="AF87" s="1354"/>
      <c r="AG87" s="1354"/>
      <c r="AH87" s="1354"/>
      <c r="AI87" s="1354"/>
      <c r="AJ87" s="1354"/>
      <c r="AK87" s="1354"/>
      <c r="AL87" s="1354"/>
      <c r="AM87" s="1354"/>
      <c r="AN87" s="1354"/>
      <c r="AO87" s="1354"/>
      <c r="AP87" s="1354"/>
      <c r="AQ87" s="1354"/>
      <c r="AR87" s="1354"/>
      <c r="AS87" s="1354"/>
      <c r="AT87" s="1354"/>
      <c r="AU87" s="20"/>
      <c r="AV87" s="20"/>
      <c r="AW87" s="20"/>
      <c r="AX87" s="20"/>
      <c r="AY87" s="20"/>
      <c r="AZ87" s="20"/>
      <c r="BD87" s="1176" t="s">
        <v>2499</v>
      </c>
      <c r="BE87" s="1178" t="str">
        <f>Application!O156</f>
        <v>7351 Rosanna St</v>
      </c>
    </row>
    <row r="88" spans="1:57" ht="12.9"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Gilroy</v>
      </c>
    </row>
    <row r="89" spans="1:57" ht="12.9" customHeight="1">
      <c r="A89" s="1874" t="s">
        <v>2110</v>
      </c>
      <c r="B89" s="1874"/>
      <c r="C89" s="1874"/>
      <c r="D89" s="1874"/>
      <c r="E89" s="1874"/>
      <c r="F89" s="1874"/>
      <c r="G89" s="1874"/>
      <c r="H89" s="1874"/>
      <c r="I89" s="1874"/>
      <c r="J89" s="1874"/>
      <c r="K89" s="1874"/>
      <c r="L89" s="1874"/>
      <c r="M89" s="1874"/>
      <c r="N89" s="1874"/>
      <c r="O89" s="1874"/>
      <c r="P89" s="1874"/>
      <c r="Q89" s="1874"/>
      <c r="R89" s="1874"/>
      <c r="S89" s="1874"/>
      <c r="T89" s="1874"/>
      <c r="U89" s="1874"/>
      <c r="V89" s="1874"/>
      <c r="W89" s="1874"/>
      <c r="X89" s="1874"/>
      <c r="Y89" s="1874"/>
      <c r="Z89" s="1874"/>
      <c r="AA89" s="1874"/>
      <c r="AB89" s="1874"/>
      <c r="AC89" s="1874"/>
      <c r="AD89" s="1874"/>
      <c r="AE89" s="1874"/>
      <c r="AF89" s="1874"/>
      <c r="AG89" s="1874"/>
      <c r="AH89" s="1874"/>
      <c r="AI89" s="1874"/>
      <c r="AJ89" s="1874"/>
      <c r="AK89" s="1874"/>
      <c r="AL89" s="1874"/>
      <c r="AM89" s="1874"/>
      <c r="AN89" s="1874"/>
      <c r="AO89" s="1874"/>
      <c r="AP89" s="1874"/>
      <c r="AQ89" s="1874"/>
      <c r="AR89" s="1874"/>
      <c r="AS89" s="1874"/>
      <c r="AT89" s="1874"/>
      <c r="AU89" s="17"/>
      <c r="AV89" s="17"/>
      <c r="AW89" s="17"/>
      <c r="AX89" s="17"/>
      <c r="AY89" s="17"/>
      <c r="AZ89" s="20"/>
      <c r="BD89" s="1176" t="s">
        <v>2501</v>
      </c>
      <c r="BE89" s="1178">
        <f>Application!O158</f>
        <v>95020</v>
      </c>
    </row>
    <row r="90" spans="1:57" ht="12.9" customHeight="1">
      <c r="A90" s="1874"/>
      <c r="B90" s="1874"/>
      <c r="C90" s="1874"/>
      <c r="D90" s="1874"/>
      <c r="E90" s="1874"/>
      <c r="F90" s="1874"/>
      <c r="G90" s="1874"/>
      <c r="H90" s="1874"/>
      <c r="I90" s="1874"/>
      <c r="J90" s="1874"/>
      <c r="K90" s="1874"/>
      <c r="L90" s="1874"/>
      <c r="M90" s="1874"/>
      <c r="N90" s="1874"/>
      <c r="O90" s="1874"/>
      <c r="P90" s="1874"/>
      <c r="Q90" s="1874"/>
      <c r="R90" s="1874"/>
      <c r="S90" s="1874"/>
      <c r="T90" s="1874"/>
      <c r="U90" s="1874"/>
      <c r="V90" s="1874"/>
      <c r="W90" s="1874"/>
      <c r="X90" s="1874"/>
      <c r="Y90" s="1874"/>
      <c r="Z90" s="1874"/>
      <c r="AA90" s="1874"/>
      <c r="AB90" s="1874"/>
      <c r="AC90" s="1874"/>
      <c r="AD90" s="1874"/>
      <c r="AE90" s="1874"/>
      <c r="AF90" s="1874"/>
      <c r="AG90" s="1874"/>
      <c r="AH90" s="1874"/>
      <c r="AI90" s="1874"/>
      <c r="AJ90" s="1874"/>
      <c r="AK90" s="1874"/>
      <c r="AL90" s="1874"/>
      <c r="AM90" s="1874"/>
      <c r="AN90" s="1874"/>
      <c r="AO90" s="1874"/>
      <c r="AP90" s="1874"/>
      <c r="AQ90" s="1874"/>
      <c r="AR90" s="1874"/>
      <c r="AS90" s="1874"/>
      <c r="AT90" s="1874"/>
      <c r="AU90" s="17"/>
      <c r="AV90" s="17"/>
      <c r="AW90" s="17"/>
      <c r="AX90" s="17"/>
      <c r="AY90" s="17"/>
      <c r="AZ90" s="20"/>
      <c r="BD90" s="1177" t="s">
        <v>2502</v>
      </c>
      <c r="BE90" s="1178" t="str">
        <f>Application!H16</f>
        <v>CRP Monterey LP</v>
      </c>
    </row>
    <row r="91" spans="1:57" ht="12.9"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122 E 42nd Street, Suite 1903</v>
      </c>
    </row>
    <row r="92" spans="1:57" ht="12.9" customHeight="1">
      <c r="A92" s="1875" t="s">
        <v>2111</v>
      </c>
      <c r="B92" s="1875"/>
      <c r="C92" s="1875"/>
      <c r="D92" s="1875"/>
      <c r="E92" s="1875"/>
      <c r="F92" s="1875"/>
      <c r="G92" s="1875"/>
      <c r="H92" s="1875"/>
      <c r="I92" s="1875"/>
      <c r="J92" s="1875"/>
      <c r="K92" s="1875"/>
      <c r="L92" s="1875"/>
      <c r="M92" s="1875"/>
      <c r="N92" s="1875"/>
      <c r="O92" s="1875"/>
      <c r="P92" s="1875"/>
      <c r="Q92" s="1875"/>
      <c r="R92" s="1875"/>
      <c r="S92" s="1875"/>
      <c r="T92" s="1875"/>
      <c r="U92" s="1875"/>
      <c r="V92" s="1875"/>
      <c r="W92" s="1875"/>
      <c r="X92" s="1875"/>
      <c r="Y92" s="1875"/>
      <c r="Z92" s="1875"/>
      <c r="AA92" s="1875"/>
      <c r="AB92" s="1875"/>
      <c r="AC92" s="1875"/>
      <c r="AD92" s="1875"/>
      <c r="AE92" s="1875"/>
      <c r="AF92" s="1875"/>
      <c r="AG92" s="1875"/>
      <c r="AH92" s="1875"/>
      <c r="AI92" s="1875"/>
      <c r="AJ92" s="1875"/>
      <c r="AK92" s="1875"/>
      <c r="AL92" s="1875"/>
      <c r="AM92" s="1875"/>
      <c r="AN92" s="1875"/>
      <c r="AO92" s="1875"/>
      <c r="AP92" s="1875"/>
      <c r="AQ92" s="1875"/>
      <c r="AR92" s="1875"/>
      <c r="AS92" s="1875"/>
      <c r="AT92" s="1875"/>
      <c r="AU92" s="20"/>
      <c r="AV92" s="20"/>
      <c r="AW92" s="20"/>
      <c r="AX92" s="20"/>
      <c r="AY92" s="20"/>
      <c r="AZ92" s="20"/>
      <c r="BD92" s="1177" t="s">
        <v>2504</v>
      </c>
      <c r="BE92" s="1178" t="str">
        <f>Application!M243</f>
        <v>New York</v>
      </c>
    </row>
    <row r="93" spans="1:57" ht="12.9" customHeight="1">
      <c r="A93" s="1875"/>
      <c r="B93" s="1875"/>
      <c r="C93" s="1875"/>
      <c r="D93" s="1875"/>
      <c r="E93" s="1875"/>
      <c r="F93" s="1875"/>
      <c r="G93" s="1875"/>
      <c r="H93" s="1875"/>
      <c r="I93" s="1875"/>
      <c r="J93" s="1875"/>
      <c r="K93" s="1875"/>
      <c r="L93" s="1875"/>
      <c r="M93" s="1875"/>
      <c r="N93" s="1875"/>
      <c r="O93" s="1875"/>
      <c r="P93" s="1875"/>
      <c r="Q93" s="1875"/>
      <c r="R93" s="1875"/>
      <c r="S93" s="1875"/>
      <c r="T93" s="1875"/>
      <c r="U93" s="1875"/>
      <c r="V93" s="1875"/>
      <c r="W93" s="1875"/>
      <c r="X93" s="1875"/>
      <c r="Y93" s="1875"/>
      <c r="Z93" s="1875"/>
      <c r="AA93" s="1875"/>
      <c r="AB93" s="1875"/>
      <c r="AC93" s="1875"/>
      <c r="AD93" s="1875"/>
      <c r="AE93" s="1875"/>
      <c r="AF93" s="1875"/>
      <c r="AG93" s="1875"/>
      <c r="AH93" s="1875"/>
      <c r="AI93" s="1875"/>
      <c r="AJ93" s="1875"/>
      <c r="AK93" s="1875"/>
      <c r="AL93" s="1875"/>
      <c r="AM93" s="1875"/>
      <c r="AN93" s="1875"/>
      <c r="AO93" s="1875"/>
      <c r="AP93" s="1875"/>
      <c r="AQ93" s="1875"/>
      <c r="AR93" s="1875"/>
      <c r="AS93" s="1875"/>
      <c r="AT93" s="1875"/>
      <c r="AU93" s="20"/>
      <c r="AV93" s="20"/>
      <c r="AW93" s="20"/>
      <c r="AX93" s="20"/>
      <c r="AY93" s="20"/>
      <c r="AZ93" s="20"/>
      <c r="BD93" s="1176" t="s">
        <v>2505</v>
      </c>
      <c r="BE93" s="1178" t="str">
        <f>Application!W243</f>
        <v>NY</v>
      </c>
    </row>
    <row r="94" spans="1:57" ht="12.9" customHeight="1">
      <c r="A94" s="1875"/>
      <c r="B94" s="1875"/>
      <c r="C94" s="1875"/>
      <c r="D94" s="1875"/>
      <c r="E94" s="1875"/>
      <c r="F94" s="1875"/>
      <c r="G94" s="1875"/>
      <c r="H94" s="1875"/>
      <c r="I94" s="1875"/>
      <c r="J94" s="1875"/>
      <c r="K94" s="1875"/>
      <c r="L94" s="1875"/>
      <c r="M94" s="1875"/>
      <c r="N94" s="1875"/>
      <c r="O94" s="1875"/>
      <c r="P94" s="1875"/>
      <c r="Q94" s="1875"/>
      <c r="R94" s="1875"/>
      <c r="S94" s="1875"/>
      <c r="T94" s="1875"/>
      <c r="U94" s="1875"/>
      <c r="V94" s="1875"/>
      <c r="W94" s="1875"/>
      <c r="X94" s="1875"/>
      <c r="Y94" s="1875"/>
      <c r="Z94" s="1875"/>
      <c r="AA94" s="1875"/>
      <c r="AB94" s="1875"/>
      <c r="AC94" s="1875"/>
      <c r="AD94" s="1875"/>
      <c r="AE94" s="1875"/>
      <c r="AF94" s="1875"/>
      <c r="AG94" s="1875"/>
      <c r="AH94" s="1875"/>
      <c r="AI94" s="1875"/>
      <c r="AJ94" s="1875"/>
      <c r="AK94" s="1875"/>
      <c r="AL94" s="1875"/>
      <c r="AM94" s="1875"/>
      <c r="AN94" s="1875"/>
      <c r="AO94" s="1875"/>
      <c r="AP94" s="1875"/>
      <c r="AQ94" s="1875"/>
      <c r="AR94" s="1875"/>
      <c r="AS94" s="1875"/>
      <c r="AT94" s="1875"/>
      <c r="AU94" s="20"/>
      <c r="AV94" s="20"/>
      <c r="AW94" s="20"/>
      <c r="AX94" s="20"/>
      <c r="AY94" s="20"/>
      <c r="AZ94" s="20"/>
      <c r="BD94" s="1177" t="s">
        <v>2506</v>
      </c>
      <c r="BE94" s="1178">
        <f>Application!AC243</f>
        <v>10168</v>
      </c>
    </row>
    <row r="95" spans="1:57" ht="12.9" customHeight="1">
      <c r="A95" s="1875"/>
      <c r="B95" s="1875"/>
      <c r="C95" s="1875"/>
      <c r="D95" s="1875"/>
      <c r="E95" s="1875"/>
      <c r="F95" s="1875"/>
      <c r="G95" s="1875"/>
      <c r="H95" s="1875"/>
      <c r="I95" s="1875"/>
      <c r="J95" s="1875"/>
      <c r="K95" s="1875"/>
      <c r="L95" s="1875"/>
      <c r="M95" s="1875"/>
      <c r="N95" s="1875"/>
      <c r="O95" s="1875"/>
      <c r="P95" s="1875"/>
      <c r="Q95" s="1875"/>
      <c r="R95" s="1875"/>
      <c r="S95" s="1875"/>
      <c r="T95" s="1875"/>
      <c r="U95" s="1875"/>
      <c r="V95" s="1875"/>
      <c r="W95" s="1875"/>
      <c r="X95" s="1875"/>
      <c r="Y95" s="1875"/>
      <c r="Z95" s="1875"/>
      <c r="AA95" s="1875"/>
      <c r="AB95" s="1875"/>
      <c r="AC95" s="1875"/>
      <c r="AD95" s="1875"/>
      <c r="AE95" s="1875"/>
      <c r="AF95" s="1875"/>
      <c r="AG95" s="1875"/>
      <c r="AH95" s="1875"/>
      <c r="AI95" s="1875"/>
      <c r="AJ95" s="1875"/>
      <c r="AK95" s="1875"/>
      <c r="AL95" s="1875"/>
      <c r="AM95" s="1875"/>
      <c r="AN95" s="1875"/>
      <c r="AO95" s="1875"/>
      <c r="AP95" s="1875"/>
      <c r="AQ95" s="1875"/>
      <c r="AR95" s="1875"/>
      <c r="AS95" s="1875"/>
      <c r="AT95" s="1875"/>
      <c r="AU95" s="20"/>
      <c r="AV95" s="20"/>
      <c r="AW95" s="20"/>
      <c r="AX95" s="20"/>
      <c r="AY95" s="20"/>
      <c r="AZ95" s="20"/>
      <c r="BD95" s="1176" t="s">
        <v>2507</v>
      </c>
      <c r="BE95" s="1178" t="str">
        <f>Application!M244</f>
        <v>Paul Salib</v>
      </c>
    </row>
    <row r="96" spans="1:57" ht="12.9" customHeight="1">
      <c r="A96" s="1875"/>
      <c r="B96" s="1875"/>
      <c r="C96" s="1875"/>
      <c r="D96" s="1875"/>
      <c r="E96" s="1875"/>
      <c r="F96" s="1875"/>
      <c r="G96" s="1875"/>
      <c r="H96" s="1875"/>
      <c r="I96" s="1875"/>
      <c r="J96" s="1875"/>
      <c r="K96" s="1875"/>
      <c r="L96" s="1875"/>
      <c r="M96" s="1875"/>
      <c r="N96" s="1875"/>
      <c r="O96" s="1875"/>
      <c r="P96" s="1875"/>
      <c r="Q96" s="1875"/>
      <c r="R96" s="1875"/>
      <c r="S96" s="1875"/>
      <c r="T96" s="1875"/>
      <c r="U96" s="1875"/>
      <c r="V96" s="1875"/>
      <c r="W96" s="1875"/>
      <c r="X96" s="1875"/>
      <c r="Y96" s="1875"/>
      <c r="Z96" s="1875"/>
      <c r="AA96" s="1875"/>
      <c r="AB96" s="1875"/>
      <c r="AC96" s="1875"/>
      <c r="AD96" s="1875"/>
      <c r="AE96" s="1875"/>
      <c r="AF96" s="1875"/>
      <c r="AG96" s="1875"/>
      <c r="AH96" s="1875"/>
      <c r="AI96" s="1875"/>
      <c r="AJ96" s="1875"/>
      <c r="AK96" s="1875"/>
      <c r="AL96" s="1875"/>
      <c r="AM96" s="1875"/>
      <c r="AN96" s="1875"/>
      <c r="AO96" s="1875"/>
      <c r="AP96" s="1875"/>
      <c r="AQ96" s="1875"/>
      <c r="AR96" s="1875"/>
      <c r="AS96" s="1875"/>
      <c r="AT96" s="1875"/>
      <c r="AU96" s="20"/>
      <c r="AV96" s="20"/>
      <c r="AW96" s="20"/>
      <c r="AX96" s="20"/>
      <c r="AY96" s="20"/>
      <c r="AZ96" s="20"/>
      <c r="BD96" s="1177" t="s">
        <v>2508</v>
      </c>
      <c r="BE96" s="1178" t="str">
        <f>Application!M246</f>
        <v>psalib@crpaffordable.com</v>
      </c>
    </row>
    <row r="97" spans="1:57" ht="12.9" customHeight="1">
      <c r="A97" s="1875"/>
      <c r="B97" s="1875"/>
      <c r="C97" s="1875"/>
      <c r="D97" s="1875"/>
      <c r="E97" s="1875"/>
      <c r="F97" s="1875"/>
      <c r="G97" s="1875"/>
      <c r="H97" s="1875"/>
      <c r="I97" s="1875"/>
      <c r="J97" s="1875"/>
      <c r="K97" s="1875"/>
      <c r="L97" s="1875"/>
      <c r="M97" s="1875"/>
      <c r="N97" s="1875"/>
      <c r="O97" s="1875"/>
      <c r="P97" s="1875"/>
      <c r="Q97" s="1875"/>
      <c r="R97" s="1875"/>
      <c r="S97" s="1875"/>
      <c r="T97" s="1875"/>
      <c r="U97" s="1875"/>
      <c r="V97" s="1875"/>
      <c r="W97" s="1875"/>
      <c r="X97" s="1875"/>
      <c r="Y97" s="1875"/>
      <c r="Z97" s="1875"/>
      <c r="AA97" s="1875"/>
      <c r="AB97" s="1875"/>
      <c r="AC97" s="1875"/>
      <c r="AD97" s="1875"/>
      <c r="AE97" s="1875"/>
      <c r="AF97" s="1875"/>
      <c r="AG97" s="1875"/>
      <c r="AH97" s="1875"/>
      <c r="AI97" s="1875"/>
      <c r="AJ97" s="1875"/>
      <c r="AK97" s="1875"/>
      <c r="AL97" s="1875"/>
      <c r="AM97" s="1875"/>
      <c r="AN97" s="1875"/>
      <c r="AO97" s="1875"/>
      <c r="AP97" s="1875"/>
      <c r="AQ97" s="1875"/>
      <c r="AR97" s="1875"/>
      <c r="AS97" s="1875"/>
      <c r="AT97" s="1875"/>
      <c r="AU97" s="20"/>
      <c r="AV97" s="20"/>
      <c r="AW97" s="20"/>
      <c r="AX97" s="20"/>
      <c r="AY97" s="20"/>
      <c r="AZ97" s="20"/>
      <c r="BD97" s="1176" t="s">
        <v>2509</v>
      </c>
      <c r="BE97" s="1178" t="str">
        <f>Application!M257</f>
        <v>david@crdc.org</v>
      </c>
    </row>
    <row r="98" spans="1:57" ht="12.9" customHeight="1">
      <c r="A98" s="1875"/>
      <c r="B98" s="1875"/>
      <c r="C98" s="1875"/>
      <c r="D98" s="1875"/>
      <c r="E98" s="1875"/>
      <c r="F98" s="1875"/>
      <c r="G98" s="1875"/>
      <c r="H98" s="1875"/>
      <c r="I98" s="1875"/>
      <c r="J98" s="1875"/>
      <c r="K98" s="1875"/>
      <c r="L98" s="1875"/>
      <c r="M98" s="1875"/>
      <c r="N98" s="1875"/>
      <c r="O98" s="1875"/>
      <c r="P98" s="1875"/>
      <c r="Q98" s="1875"/>
      <c r="R98" s="1875"/>
      <c r="S98" s="1875"/>
      <c r="T98" s="1875"/>
      <c r="U98" s="1875"/>
      <c r="V98" s="1875"/>
      <c r="W98" s="1875"/>
      <c r="X98" s="1875"/>
      <c r="Y98" s="1875"/>
      <c r="Z98" s="1875"/>
      <c r="AA98" s="1875"/>
      <c r="AB98" s="1875"/>
      <c r="AC98" s="1875"/>
      <c r="AD98" s="1875"/>
      <c r="AE98" s="1875"/>
      <c r="AF98" s="1875"/>
      <c r="AG98" s="1875"/>
      <c r="AH98" s="1875"/>
      <c r="AI98" s="1875"/>
      <c r="AJ98" s="1875"/>
      <c r="AK98" s="1875"/>
      <c r="AL98" s="1875"/>
      <c r="AM98" s="1875"/>
      <c r="AN98" s="1875"/>
      <c r="AO98" s="1875"/>
      <c r="AP98" s="1875"/>
      <c r="AQ98" s="1875"/>
      <c r="AR98" s="1875"/>
      <c r="AS98" s="1875"/>
      <c r="AT98" s="1875"/>
      <c r="AU98" s="20"/>
      <c r="AV98" s="20"/>
      <c r="AW98" s="20"/>
      <c r="AX98" s="20"/>
      <c r="AY98" s="20"/>
      <c r="AZ98" s="20"/>
      <c r="BD98" s="1177" t="s">
        <v>2510</v>
      </c>
      <c r="BE98" s="1178" t="str">
        <f>Application!M265</f>
        <v>psalib@crpaffordable.com</v>
      </c>
    </row>
    <row r="99" spans="1:57" ht="12.9"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2.9" customHeight="1">
      <c r="A100" s="1876" t="s">
        <v>2112</v>
      </c>
      <c r="B100" s="1876"/>
      <c r="C100" s="1876"/>
      <c r="D100" s="1876"/>
      <c r="E100" s="1876"/>
      <c r="F100" s="1876"/>
      <c r="G100" s="1876"/>
      <c r="H100" s="1876"/>
      <c r="I100" s="1876"/>
      <c r="J100" s="1876"/>
      <c r="K100" s="1876"/>
      <c r="L100" s="1876"/>
      <c r="M100" s="1876"/>
      <c r="N100" s="1876"/>
      <c r="O100" s="1876"/>
      <c r="P100" s="1876"/>
      <c r="Q100" s="1876"/>
      <c r="R100" s="1876"/>
      <c r="S100" s="1876"/>
      <c r="T100" s="1876"/>
      <c r="U100" s="1876"/>
      <c r="V100" s="1876"/>
      <c r="W100" s="1876"/>
      <c r="X100" s="1876"/>
      <c r="Y100" s="1876"/>
      <c r="Z100" s="1876"/>
      <c r="AA100" s="1876"/>
      <c r="AB100" s="1876"/>
      <c r="AC100" s="1876"/>
      <c r="AD100" s="1876"/>
      <c r="AE100" s="1876"/>
      <c r="AF100" s="1876"/>
      <c r="AG100" s="1876"/>
      <c r="AH100" s="1876"/>
      <c r="AI100" s="1876"/>
      <c r="AJ100" s="1876"/>
      <c r="AK100" s="1876"/>
      <c r="AL100" s="1876"/>
      <c r="AM100" s="1876"/>
      <c r="AN100" s="1876"/>
      <c r="AO100" s="1876"/>
      <c r="AP100" s="1876"/>
      <c r="AQ100" s="1876"/>
      <c r="AR100" s="1876"/>
      <c r="AS100" s="1876"/>
      <c r="AT100" s="1876"/>
      <c r="AU100" s="20"/>
      <c r="AV100" s="20"/>
      <c r="AW100" s="20"/>
      <c r="AX100" s="20"/>
      <c r="AY100" s="20"/>
      <c r="AZ100" s="20"/>
      <c r="BD100" s="1177" t="s">
        <v>2512</v>
      </c>
      <c r="BE100" s="1178" t="str">
        <f>Application!L288</f>
        <v>gnestler@crpaffordable.com</v>
      </c>
    </row>
    <row r="101" spans="1:57" ht="12.9" customHeight="1">
      <c r="A101" s="1876"/>
      <c r="B101" s="1876"/>
      <c r="C101" s="1876"/>
      <c r="D101" s="1876"/>
      <c r="E101" s="1876"/>
      <c r="F101" s="1876"/>
      <c r="G101" s="1876"/>
      <c r="H101" s="1876"/>
      <c r="I101" s="1876"/>
      <c r="J101" s="1876"/>
      <c r="K101" s="1876"/>
      <c r="L101" s="1876"/>
      <c r="M101" s="1876"/>
      <c r="N101" s="1876"/>
      <c r="O101" s="1876"/>
      <c r="P101" s="1876"/>
      <c r="Q101" s="1876"/>
      <c r="R101" s="1876"/>
      <c r="S101" s="1876"/>
      <c r="T101" s="1876"/>
      <c r="U101" s="1876"/>
      <c r="V101" s="1876"/>
      <c r="W101" s="1876"/>
      <c r="X101" s="1876"/>
      <c r="Y101" s="1876"/>
      <c r="Z101" s="1876"/>
      <c r="AA101" s="1876"/>
      <c r="AB101" s="1876"/>
      <c r="AC101" s="1876"/>
      <c r="AD101" s="1876"/>
      <c r="AE101" s="1876"/>
      <c r="AF101" s="1876"/>
      <c r="AG101" s="1876"/>
      <c r="AH101" s="1876"/>
      <c r="AI101" s="1876"/>
      <c r="AJ101" s="1876"/>
      <c r="AK101" s="1876"/>
      <c r="AL101" s="1876"/>
      <c r="AM101" s="1876"/>
      <c r="AN101" s="1876"/>
      <c r="AO101" s="1876"/>
      <c r="AP101" s="1876"/>
      <c r="AQ101" s="1876"/>
      <c r="AR101" s="1876"/>
      <c r="AS101" s="1876"/>
      <c r="AT101" s="1876"/>
      <c r="AU101" s="20"/>
      <c r="AV101" s="20"/>
      <c r="AW101" s="20"/>
      <c r="AX101" s="20"/>
      <c r="AY101" s="20"/>
      <c r="AZ101" s="20"/>
      <c r="BD101" s="3" t="s">
        <v>2517</v>
      </c>
      <c r="BE101">
        <f>'Sources and Uses Budget'!C105</f>
        <v>79917904</v>
      </c>
    </row>
    <row r="102" spans="1:57" ht="12.9" customHeight="1">
      <c r="A102" s="1876"/>
      <c r="B102" s="1876"/>
      <c r="C102" s="1876"/>
      <c r="D102" s="1876"/>
      <c r="E102" s="1876"/>
      <c r="F102" s="1876"/>
      <c r="G102" s="1876"/>
      <c r="H102" s="1876"/>
      <c r="I102" s="1876"/>
      <c r="J102" s="1876"/>
      <c r="K102" s="1876"/>
      <c r="L102" s="1876"/>
      <c r="M102" s="1876"/>
      <c r="N102" s="1876"/>
      <c r="O102" s="1876"/>
      <c r="P102" s="1876"/>
      <c r="Q102" s="1876"/>
      <c r="R102" s="1876"/>
      <c r="S102" s="1876"/>
      <c r="T102" s="1876"/>
      <c r="U102" s="1876"/>
      <c r="V102" s="1876"/>
      <c r="W102" s="1876"/>
      <c r="X102" s="1876"/>
      <c r="Y102" s="1876"/>
      <c r="Z102" s="1876"/>
      <c r="AA102" s="1876"/>
      <c r="AB102" s="1876"/>
      <c r="AC102" s="1876"/>
      <c r="AD102" s="1876"/>
      <c r="AE102" s="1876"/>
      <c r="AF102" s="1876"/>
      <c r="AG102" s="1876"/>
      <c r="AH102" s="1876"/>
      <c r="AI102" s="1876"/>
      <c r="AJ102" s="1876"/>
      <c r="AK102" s="1876"/>
      <c r="AL102" s="1876"/>
      <c r="AM102" s="1876"/>
      <c r="AN102" s="1876"/>
      <c r="AO102" s="1876"/>
      <c r="AP102" s="1876"/>
      <c r="AQ102" s="1876"/>
      <c r="AR102" s="1876"/>
      <c r="AS102" s="1876"/>
      <c r="AT102" s="1876"/>
      <c r="AU102" s="20"/>
      <c r="AV102" s="20"/>
      <c r="AW102" s="20"/>
      <c r="AX102" s="20"/>
      <c r="AY102" s="20"/>
      <c r="AZ102" s="20"/>
      <c r="BD102" s="3" t="s">
        <v>2518</v>
      </c>
      <c r="BE102" t="b">
        <f>T197="Yes"</f>
        <v>0</v>
      </c>
    </row>
    <row r="103" spans="1:57" ht="12.9" customHeight="1">
      <c r="A103" s="1876"/>
      <c r="B103" s="1876"/>
      <c r="C103" s="1876"/>
      <c r="D103" s="1876"/>
      <c r="E103" s="1876"/>
      <c r="F103" s="1876"/>
      <c r="G103" s="1876"/>
      <c r="H103" s="1876"/>
      <c r="I103" s="1876"/>
      <c r="J103" s="1876"/>
      <c r="K103" s="1876"/>
      <c r="L103" s="1876"/>
      <c r="M103" s="1876"/>
      <c r="N103" s="1876"/>
      <c r="O103" s="1876"/>
      <c r="P103" s="1876"/>
      <c r="Q103" s="1876"/>
      <c r="R103" s="1876"/>
      <c r="S103" s="1876"/>
      <c r="T103" s="1876"/>
      <c r="U103" s="1876"/>
      <c r="V103" s="1876"/>
      <c r="W103" s="1876"/>
      <c r="X103" s="1876"/>
      <c r="Y103" s="1876"/>
      <c r="Z103" s="1876"/>
      <c r="AA103" s="1876"/>
      <c r="AB103" s="1876"/>
      <c r="AC103" s="1876"/>
      <c r="AD103" s="1876"/>
      <c r="AE103" s="1876"/>
      <c r="AF103" s="1876"/>
      <c r="AG103" s="1876"/>
      <c r="AH103" s="1876"/>
      <c r="AI103" s="1876"/>
      <c r="AJ103" s="1876"/>
      <c r="AK103" s="1876"/>
      <c r="AL103" s="1876"/>
      <c r="AM103" s="1876"/>
      <c r="AN103" s="1876"/>
      <c r="AO103" s="1876"/>
      <c r="AP103" s="1876"/>
      <c r="AQ103" s="1876"/>
      <c r="AR103" s="1876"/>
      <c r="AS103" s="1876"/>
      <c r="AT103" s="1876"/>
      <c r="AU103" s="20"/>
      <c r="AV103" s="20"/>
      <c r="AW103" s="20"/>
      <c r="AX103" s="20"/>
      <c r="AY103" s="20"/>
      <c r="BD103" t="s">
        <v>2122</v>
      </c>
      <c r="BE103" s="1178" t="b">
        <f>T199="Yes"</f>
        <v>0</v>
      </c>
    </row>
    <row r="104" spans="1:57" ht="12.9"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2.9" customHeight="1">
      <c r="A105" s="1876" t="s">
        <v>2113</v>
      </c>
      <c r="B105" s="1876"/>
      <c r="C105" s="1876"/>
      <c r="D105" s="1876"/>
      <c r="E105" s="1876"/>
      <c r="F105" s="1876"/>
      <c r="G105" s="1876"/>
      <c r="H105" s="1876"/>
      <c r="I105" s="1876"/>
      <c r="J105" s="1876"/>
      <c r="K105" s="1876"/>
      <c r="L105" s="1876"/>
      <c r="M105" s="1876"/>
      <c r="N105" s="1876"/>
      <c r="O105" s="1876"/>
      <c r="P105" s="1876"/>
      <c r="Q105" s="1876"/>
      <c r="R105" s="1876"/>
      <c r="S105" s="1876"/>
      <c r="T105" s="1876"/>
      <c r="U105" s="1876"/>
      <c r="V105" s="1876"/>
      <c r="W105" s="1876"/>
      <c r="X105" s="1876"/>
      <c r="Y105" s="1876"/>
      <c r="Z105" s="1876"/>
      <c r="AA105" s="1876"/>
      <c r="AB105" s="1876"/>
      <c r="AC105" s="1876"/>
      <c r="AD105" s="1876"/>
      <c r="AE105" s="1876"/>
      <c r="AF105" s="1876"/>
      <c r="AG105" s="1876"/>
      <c r="AH105" s="1876"/>
      <c r="AI105" s="1876"/>
      <c r="AJ105" s="1876"/>
      <c r="AK105" s="1876"/>
      <c r="AL105" s="1876"/>
      <c r="AM105" s="1876"/>
      <c r="AN105" s="1876"/>
      <c r="AO105" s="1876"/>
      <c r="AP105" s="1876"/>
      <c r="AQ105" s="1876"/>
      <c r="AR105" s="1876"/>
      <c r="AS105" s="1876"/>
      <c r="AT105" s="1876"/>
      <c r="AU105" s="20"/>
      <c r="AV105" s="20"/>
      <c r="AW105" s="20"/>
      <c r="AX105" s="20"/>
      <c r="AY105" s="20"/>
      <c r="BD105" s="3" t="s">
        <v>2531</v>
      </c>
      <c r="BE105" s="1178" t="b">
        <f>V224="Yes"</f>
        <v>0</v>
      </c>
    </row>
    <row r="106" spans="1:57" ht="12.9" customHeight="1">
      <c r="A106" s="1876"/>
      <c r="B106" s="1876"/>
      <c r="C106" s="1876"/>
      <c r="D106" s="1876"/>
      <c r="E106" s="1876"/>
      <c r="F106" s="1876"/>
      <c r="G106" s="1876"/>
      <c r="H106" s="1876"/>
      <c r="I106" s="1876"/>
      <c r="J106" s="1876"/>
      <c r="K106" s="1876"/>
      <c r="L106" s="1876"/>
      <c r="M106" s="1876"/>
      <c r="N106" s="1876"/>
      <c r="O106" s="1876"/>
      <c r="P106" s="1876"/>
      <c r="Q106" s="1876"/>
      <c r="R106" s="1876"/>
      <c r="S106" s="1876"/>
      <c r="T106" s="1876"/>
      <c r="U106" s="1876"/>
      <c r="V106" s="1876"/>
      <c r="W106" s="1876"/>
      <c r="X106" s="1876"/>
      <c r="Y106" s="1876"/>
      <c r="Z106" s="1876"/>
      <c r="AA106" s="1876"/>
      <c r="AB106" s="1876"/>
      <c r="AC106" s="1876"/>
      <c r="AD106" s="1876"/>
      <c r="AE106" s="1876"/>
      <c r="AF106" s="1876"/>
      <c r="AG106" s="1876"/>
      <c r="AH106" s="1876"/>
      <c r="AI106" s="1876"/>
      <c r="AJ106" s="1876"/>
      <c r="AK106" s="1876"/>
      <c r="AL106" s="1876"/>
      <c r="AM106" s="1876"/>
      <c r="AN106" s="1876"/>
      <c r="AO106" s="1876"/>
      <c r="AP106" s="1876"/>
      <c r="AQ106" s="1876"/>
      <c r="AR106" s="1876"/>
      <c r="AS106" s="1876"/>
      <c r="AT106" s="1876"/>
      <c r="AU106" s="20"/>
      <c r="AV106" s="20"/>
      <c r="AW106" s="20"/>
      <c r="AX106" s="20"/>
      <c r="AY106" s="20"/>
      <c r="BD106" s="3" t="s">
        <v>2532</v>
      </c>
      <c r="BE106" s="1178" t="b">
        <f t="shared" ref="BE106:BE110" si="0">V225="Yes"</f>
        <v>0</v>
      </c>
    </row>
    <row r="107" spans="1:57" ht="12.9"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2.9"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2.9"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0</v>
      </c>
    </row>
    <row r="110" spans="1:57" ht="12.9"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2.9"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 customHeight="1">
      <c r="A113" s="289"/>
      <c r="C113" s="3" t="s">
        <v>181</v>
      </c>
      <c r="G113" s="1877"/>
      <c r="H113" s="1877"/>
      <c r="I113" s="3" t="s">
        <v>182</v>
      </c>
      <c r="L113" s="1877"/>
      <c r="M113" s="1877"/>
      <c r="N113" s="1877"/>
      <c r="O113" s="1877"/>
      <c r="P113" s="1883" t="s">
        <v>2598</v>
      </c>
      <c r="Q113" s="1883"/>
      <c r="R113" s="1883"/>
      <c r="S113" s="1883"/>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 customHeight="1">
      <c r="A115" s="91"/>
      <c r="C115" s="1889"/>
      <c r="D115" s="1889"/>
      <c r="E115" s="1889"/>
      <c r="F115" s="1889"/>
      <c r="G115" s="1889"/>
      <c r="H115" s="1889"/>
      <c r="I115" s="1889"/>
      <c r="J115" s="1889"/>
      <c r="K115" s="1889"/>
      <c r="L115" s="202" t="s">
        <v>625</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 customHeight="1">
      <c r="A117" s="91"/>
      <c r="B117" s="22"/>
      <c r="C117" s="22"/>
      <c r="X117" s="3" t="s">
        <v>626</v>
      </c>
      <c r="Y117" s="1877"/>
      <c r="Z117" s="1877"/>
      <c r="AA117" s="1877"/>
      <c r="AB117" s="1877"/>
      <c r="AC117" s="1877"/>
      <c r="AD117" s="1877"/>
      <c r="AE117" s="1877"/>
      <c r="AF117" s="1877"/>
      <c r="AG117" s="1877"/>
      <c r="AH117" s="1877"/>
      <c r="AI117" s="1877"/>
      <c r="AJ117" s="1877"/>
      <c r="AK117" s="1877"/>
    </row>
    <row r="118" spans="1:117" ht="12.9" customHeight="1">
      <c r="X118" s="3"/>
      <c r="Y118" s="3"/>
      <c r="Z118" s="3" t="s">
        <v>627</v>
      </c>
      <c r="AA118" s="3"/>
      <c r="AB118" s="3"/>
      <c r="AC118" s="3"/>
      <c r="AD118" s="3"/>
      <c r="AE118" s="3"/>
      <c r="AF118" s="3"/>
      <c r="AG118" s="3"/>
      <c r="AH118" s="3"/>
      <c r="AI118" s="3"/>
      <c r="AJ118" s="3"/>
      <c r="AK118" s="3"/>
    </row>
    <row r="119" spans="1:117" ht="12.9"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 customHeight="1">
      <c r="A120" s="91"/>
      <c r="B120" s="3"/>
      <c r="P120" s="3"/>
      <c r="Q120" s="3"/>
      <c r="R120" s="3"/>
      <c r="S120" s="3"/>
      <c r="T120" s="3"/>
      <c r="U120" s="3"/>
      <c r="V120" s="3"/>
      <c r="W120" s="3"/>
      <c r="X120" s="3"/>
      <c r="Y120" s="1877"/>
      <c r="Z120" s="1877"/>
      <c r="AA120" s="1877"/>
      <c r="AB120" s="1877"/>
      <c r="AC120" s="1877"/>
      <c r="AD120" s="1877"/>
      <c r="AE120" s="1877"/>
      <c r="AF120" s="1877"/>
      <c r="AG120" s="1877"/>
      <c r="AH120" s="1877"/>
      <c r="AI120" s="1877"/>
      <c r="AJ120" s="1877"/>
      <c r="AK120" s="1877"/>
      <c r="AL120" s="3"/>
      <c r="AM120" s="3"/>
      <c r="AN120" s="3"/>
      <c r="AO120" s="3"/>
      <c r="AP120" s="3"/>
      <c r="AQ120" s="3"/>
      <c r="AR120" s="3"/>
      <c r="AS120" s="3"/>
      <c r="AT120" s="3"/>
      <c r="AU120" s="3"/>
      <c r="AV120" s="3"/>
      <c r="AW120" s="3"/>
      <c r="AX120" s="3"/>
      <c r="AY120" s="3"/>
    </row>
    <row r="121" spans="1:117" ht="12.9" customHeight="1">
      <c r="A121" s="3"/>
      <c r="B121" s="3"/>
      <c r="P121" s="3"/>
      <c r="Q121" s="3"/>
      <c r="R121" s="3"/>
      <c r="S121" s="3"/>
      <c r="T121" s="3"/>
      <c r="U121" s="3"/>
      <c r="V121" s="3"/>
      <c r="W121" s="3"/>
      <c r="X121" s="3"/>
      <c r="Y121" s="3"/>
      <c r="Z121" s="3" t="s">
        <v>628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 customHeight="1">
      <c r="A122" s="3"/>
      <c r="B122" s="3"/>
      <c r="T122" s="3"/>
      <c r="U122" s="3"/>
      <c r="V122" s="3"/>
      <c r="W122" s="3"/>
      <c r="AL122" s="3"/>
      <c r="AM122" s="3"/>
      <c r="AN122" s="3"/>
      <c r="AO122" s="3"/>
      <c r="AP122" s="3"/>
      <c r="AQ122" s="3"/>
      <c r="AR122" s="3"/>
      <c r="AS122" s="3"/>
      <c r="AT122" s="3"/>
      <c r="AU122" s="3"/>
      <c r="AV122" s="3"/>
      <c r="AW122" s="3"/>
      <c r="AX122" s="3"/>
      <c r="AY122" s="3"/>
      <c r="CQ122" s="14" t="s">
        <v>630</v>
      </c>
      <c r="CR122" s="14"/>
      <c r="CS122" s="14"/>
      <c r="CT122" s="14"/>
      <c r="CU122" s="1769" t="s">
        <v>467</v>
      </c>
      <c r="CV122" s="1770"/>
      <c r="CW122" s="14"/>
      <c r="CX122" s="14" t="s">
        <v>632</v>
      </c>
      <c r="CY122" s="14"/>
      <c r="CZ122" s="14"/>
      <c r="DA122" s="14"/>
      <c r="DB122" s="14"/>
      <c r="DC122" s="14"/>
      <c r="DD122" s="14"/>
      <c r="DE122" s="14"/>
      <c r="DF122" s="14"/>
      <c r="DG122" s="1766" t="str">
        <f>T189</f>
        <v>Santa Clara</v>
      </c>
      <c r="DH122" s="1767"/>
      <c r="DI122" s="1767"/>
      <c r="DJ122" s="1767"/>
      <c r="DK122" s="1767"/>
      <c r="DL122" s="1767"/>
      <c r="DM122" s="1768"/>
    </row>
    <row r="123" spans="1:117" ht="12.9" customHeight="1">
      <c r="A123" s="3"/>
      <c r="B123" s="3"/>
      <c r="T123" s="3"/>
      <c r="U123" s="3"/>
      <c r="V123" s="3"/>
      <c r="W123" s="3"/>
      <c r="X123" s="3"/>
      <c r="Y123" s="1877"/>
      <c r="Z123" s="1877"/>
      <c r="AA123" s="1877"/>
      <c r="AB123" s="1877"/>
      <c r="AC123" s="1877"/>
      <c r="AD123" s="1877"/>
      <c r="AE123" s="1877"/>
      <c r="AF123" s="1877"/>
      <c r="AG123" s="1877"/>
      <c r="AH123" s="1877"/>
      <c r="AI123" s="1877"/>
      <c r="AJ123" s="1877"/>
      <c r="AK123" s="1877"/>
      <c r="AL123" s="3"/>
      <c r="AM123" s="3"/>
      <c r="AN123" s="3"/>
      <c r="AO123" s="3"/>
      <c r="AP123" s="3"/>
      <c r="AQ123" s="3"/>
      <c r="AR123" s="3"/>
      <c r="AS123" s="3"/>
      <c r="AT123" s="3"/>
      <c r="AU123" s="3"/>
      <c r="AV123" s="3"/>
      <c r="AW123" s="3"/>
      <c r="AX123" s="3"/>
      <c r="AY123" s="3"/>
      <c r="DJ123" s="3"/>
      <c r="DK123" s="3"/>
      <c r="DL123" s="3"/>
      <c r="DM123" s="3"/>
    </row>
    <row r="124" spans="1:117" ht="12.9" customHeight="1">
      <c r="A124" s="3"/>
      <c r="B124" s="3"/>
      <c r="T124" s="3"/>
      <c r="U124" s="3"/>
      <c r="V124" s="3"/>
      <c r="W124" s="3"/>
      <c r="X124" s="3"/>
      <c r="Y124" s="3"/>
      <c r="Z124" s="3" t="s">
        <v>629</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467</v>
      </c>
      <c r="CV124" s="14"/>
      <c r="CW124" s="14"/>
      <c r="CX124" s="14"/>
      <c r="CY124" s="14"/>
      <c r="CZ124" s="14"/>
      <c r="DA124" s="14"/>
      <c r="DB124" s="14"/>
      <c r="DE124" s="32"/>
      <c r="DF124" s="32"/>
      <c r="DG124" s="32"/>
      <c r="DH124" s="32"/>
      <c r="DI124" s="32"/>
      <c r="DJ124" s="14"/>
      <c r="DK124" s="14"/>
      <c r="DL124" s="14"/>
      <c r="DM124" s="14"/>
    </row>
    <row r="125" spans="1:117" ht="12.9"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466</v>
      </c>
      <c r="CV125" s="4"/>
      <c r="CW125" s="14"/>
      <c r="CX125" s="14"/>
      <c r="CY125" s="14"/>
      <c r="CZ125" s="14"/>
      <c r="DA125" s="14"/>
      <c r="DB125" s="14"/>
      <c r="DE125" s="4"/>
      <c r="DF125" s="4"/>
      <c r="DG125" s="4"/>
      <c r="DH125" s="4"/>
      <c r="DI125" s="4"/>
      <c r="DJ125" s="4"/>
      <c r="DK125" s="4"/>
      <c r="DL125" s="4"/>
      <c r="DM125" s="4"/>
    </row>
    <row r="126" spans="1:117" ht="12.9"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467</v>
      </c>
      <c r="DD127" s="4"/>
      <c r="DE127" s="4"/>
      <c r="DF127" s="4"/>
      <c r="DG127" s="4"/>
      <c r="DH127" s="4"/>
      <c r="DI127" s="4"/>
      <c r="DJ127" s="4"/>
      <c r="DK127" s="4"/>
      <c r="DL127" s="4"/>
      <c r="DM127" s="4"/>
    </row>
    <row r="128" spans="1:117" ht="12.9" customHeight="1">
      <c r="A128" s="350"/>
      <c r="AL128" s="350"/>
      <c r="AM128" s="350"/>
      <c r="AN128" s="350"/>
      <c r="AO128" s="350"/>
      <c r="AP128" s="350"/>
      <c r="AQ128" s="350"/>
      <c r="AR128" s="350"/>
      <c r="AS128" s="350"/>
      <c r="AT128" s="350"/>
      <c r="AU128" s="350"/>
      <c r="AV128" s="350"/>
      <c r="AW128" s="350"/>
      <c r="AX128" s="350"/>
      <c r="AY128" s="350"/>
    </row>
    <row r="129" spans="1:51" ht="12.9"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 customHeight="1">
      <c r="A131" s="3"/>
      <c r="AL131" s="3"/>
      <c r="AM131" s="3"/>
      <c r="AN131" s="3"/>
      <c r="AO131" s="3"/>
      <c r="AP131" s="3"/>
      <c r="AQ131" s="3"/>
      <c r="AR131" s="3"/>
      <c r="AS131" s="3"/>
      <c r="AT131" s="3"/>
      <c r="AU131" s="3"/>
      <c r="AV131" s="3"/>
      <c r="AW131" s="3"/>
      <c r="AX131" s="3"/>
      <c r="AY131" s="3"/>
    </row>
    <row r="132" spans="1:51" ht="12.9"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 customHeight="1">
      <c r="A133" s="3"/>
      <c r="W133" s="3"/>
      <c r="AL133" s="3"/>
      <c r="AM133" s="3"/>
      <c r="AN133" s="3"/>
      <c r="AO133" s="3"/>
      <c r="AP133" s="3"/>
      <c r="AQ133" s="3"/>
      <c r="AR133" s="3"/>
      <c r="AS133" s="3"/>
      <c r="AT133" s="3"/>
      <c r="AU133" s="3"/>
      <c r="AV133" s="3"/>
      <c r="AW133" s="3"/>
      <c r="AX133" s="3"/>
      <c r="AY133" s="3"/>
    </row>
    <row r="134" spans="1:51" ht="12.9"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 customHeight="1">
      <c r="A135" s="3"/>
      <c r="M135" s="3"/>
      <c r="N135" s="3"/>
      <c r="O135" s="3"/>
      <c r="AK135" s="3"/>
      <c r="AL135" s="3"/>
      <c r="AM135" s="3"/>
      <c r="AN135" s="3"/>
      <c r="AO135" s="3"/>
      <c r="AP135" s="3"/>
      <c r="AQ135" s="3"/>
      <c r="AR135" s="3"/>
      <c r="AS135" s="3"/>
      <c r="AT135" s="3"/>
      <c r="AU135" s="3"/>
      <c r="AV135" s="3"/>
      <c r="AW135" s="3"/>
      <c r="AX135" s="3"/>
      <c r="AY135" s="3"/>
    </row>
    <row r="136" spans="1:51" ht="12.9"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873</v>
      </c>
    </row>
    <row r="150" spans="1:108" ht="12.9" customHeight="1">
      <c r="A150" s="3"/>
      <c r="B150" s="3"/>
      <c r="D150" s="3"/>
      <c r="E150" s="3"/>
      <c r="F150" s="1426"/>
      <c r="G150" s="1426"/>
      <c r="H150" s="1426"/>
      <c r="I150" s="1426"/>
      <c r="J150" s="1426"/>
      <c r="K150" s="1426"/>
      <c r="L150" s="1426"/>
      <c r="M150" s="1426"/>
      <c r="N150" s="1426"/>
      <c r="O150" s="1426"/>
      <c r="P150" s="1426"/>
      <c r="Q150" s="1426"/>
      <c r="R150" s="1426"/>
      <c r="S150" s="1426"/>
      <c r="T150" s="1426"/>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2.9" customHeight="1">
      <c r="BM152">
        <v>4</v>
      </c>
      <c r="BN152" s="3" t="s">
        <v>2387</v>
      </c>
    </row>
    <row r="153" spans="1:108" ht="12.9" customHeight="1">
      <c r="D153" t="s">
        <v>643</v>
      </c>
      <c r="O153" s="1570" t="s">
        <v>2664</v>
      </c>
      <c r="P153" s="1570"/>
      <c r="Q153" s="1570"/>
      <c r="R153" s="1570"/>
      <c r="S153" s="1570"/>
      <c r="T153" s="1570"/>
      <c r="U153" s="1570"/>
      <c r="V153" s="1570"/>
      <c r="W153" s="1570"/>
      <c r="X153" s="1570"/>
      <c r="Y153" s="1570"/>
      <c r="Z153" s="1570"/>
      <c r="AA153" s="1570"/>
      <c r="AB153" s="1570"/>
      <c r="AC153" s="1570"/>
      <c r="AD153" s="1570"/>
      <c r="AE153" s="1570"/>
      <c r="AF153" s="1570"/>
      <c r="AG153" s="1570"/>
      <c r="AH153" s="1570"/>
      <c r="BM153">
        <v>5</v>
      </c>
      <c r="BN153" s="3" t="s">
        <v>2389</v>
      </c>
      <c r="CR153" s="31" t="s">
        <v>2627</v>
      </c>
      <c r="CS153" s="32"/>
      <c r="CT153" s="32"/>
      <c r="CU153" s="32"/>
      <c r="CV153" s="32"/>
      <c r="CW153" s="32"/>
      <c r="CX153" s="14"/>
      <c r="CY153" s="31" t="s">
        <v>2628</v>
      </c>
      <c r="CZ153" s="14"/>
      <c r="DA153" s="14"/>
      <c r="DB153" s="14"/>
      <c r="DC153" s="14"/>
      <c r="DD153" s="14"/>
    </row>
    <row r="154" spans="1:108" ht="12.9" customHeight="1">
      <c r="D154" s="303" t="s">
        <v>438</v>
      </c>
      <c r="O154" s="1543" t="s">
        <v>2665</v>
      </c>
      <c r="P154" s="1543"/>
      <c r="Q154" s="1543"/>
      <c r="R154" s="1543"/>
      <c r="S154" s="1543"/>
      <c r="T154" s="1543"/>
      <c r="U154" s="1543"/>
      <c r="V154" s="1543"/>
      <c r="W154" s="1543"/>
      <c r="X154" s="1543"/>
      <c r="Y154" s="1543"/>
      <c r="Z154" s="1543"/>
      <c r="AA154" s="1543"/>
      <c r="AB154" s="1543"/>
      <c r="AC154" s="1543"/>
      <c r="AD154" s="1543"/>
      <c r="AE154" s="1543"/>
      <c r="AF154" s="1543"/>
      <c r="AG154" s="1543"/>
      <c r="AH154" s="1543"/>
      <c r="BM154">
        <v>6</v>
      </c>
      <c r="BN154" s="3" t="s">
        <v>2390</v>
      </c>
      <c r="CR154" s="31"/>
      <c r="CS154" s="32"/>
      <c r="CT154" s="32"/>
      <c r="CU154" s="32"/>
      <c r="CV154" s="32"/>
      <c r="CW154" s="32"/>
      <c r="CX154" s="14"/>
      <c r="CY154" s="31"/>
      <c r="CZ154" s="14"/>
      <c r="DA154" s="14"/>
      <c r="DB154" s="14"/>
      <c r="DC154" s="14"/>
      <c r="DD154" s="14"/>
    </row>
    <row r="155" spans="1:108" ht="12.9" customHeight="1">
      <c r="D155" s="8" t="s">
        <v>439</v>
      </c>
      <c r="F155" s="8"/>
      <c r="G155" s="8"/>
      <c r="H155" s="8"/>
      <c r="I155" s="8"/>
      <c r="J155" s="8"/>
      <c r="K155" s="8"/>
      <c r="L155" s="8"/>
      <c r="M155" s="8"/>
      <c r="N155" s="8"/>
      <c r="O155" s="1894" t="s">
        <v>2667</v>
      </c>
      <c r="P155" s="1895"/>
      <c r="Q155" s="1895"/>
      <c r="R155" s="1895"/>
      <c r="S155" s="1895"/>
      <c r="T155" s="1895"/>
      <c r="U155" s="1895"/>
      <c r="V155" s="1895"/>
      <c r="W155" s="1895"/>
      <c r="X155" s="1895"/>
      <c r="Y155" s="1895"/>
      <c r="Z155" s="1895"/>
      <c r="AA155" s="1895"/>
      <c r="AB155" s="1895"/>
      <c r="AC155" s="1895"/>
      <c r="AD155" s="1895"/>
      <c r="AE155" s="1895"/>
      <c r="AF155" s="1895"/>
      <c r="AG155" s="1895"/>
      <c r="AH155" s="1895"/>
      <c r="BM155">
        <v>7</v>
      </c>
      <c r="BN155" s="3" t="s">
        <v>589</v>
      </c>
      <c r="CR155" s="31"/>
      <c r="CS155" s="32"/>
      <c r="CT155" s="32"/>
      <c r="CU155" s="32"/>
      <c r="CV155" s="32"/>
      <c r="CW155" s="32"/>
      <c r="CX155" s="14"/>
      <c r="CY155" s="31"/>
      <c r="CZ155" s="14"/>
      <c r="DA155" s="14"/>
      <c r="DB155" s="14"/>
      <c r="DC155" s="14"/>
      <c r="DD155" s="14"/>
    </row>
    <row r="156" spans="1:108" ht="12.9" customHeight="1">
      <c r="D156" t="s">
        <v>313</v>
      </c>
      <c r="O156" s="1539" t="s">
        <v>2666</v>
      </c>
      <c r="P156" s="1539"/>
      <c r="Q156" s="1539"/>
      <c r="R156" s="1539"/>
      <c r="S156" s="1539"/>
      <c r="T156" s="1539"/>
      <c r="U156" s="1539"/>
      <c r="V156" s="1539"/>
      <c r="W156" s="1539"/>
      <c r="X156" s="1539"/>
      <c r="Y156" s="1539"/>
      <c r="Z156" s="1539"/>
      <c r="AA156" s="1539"/>
      <c r="AB156" s="1539"/>
      <c r="AC156" s="1539"/>
      <c r="AD156" s="1539"/>
      <c r="AE156" s="1539"/>
      <c r="AF156" s="1539"/>
      <c r="AG156" s="1539"/>
      <c r="AH156" s="1539"/>
      <c r="BT156" t="s">
        <v>307</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2.9" customHeight="1">
      <c r="D157" t="s">
        <v>314</v>
      </c>
      <c r="O157" s="1570" t="s">
        <v>2668</v>
      </c>
      <c r="P157" s="1570"/>
      <c r="Q157" s="1570"/>
      <c r="R157" s="1570"/>
      <c r="S157" s="1570"/>
      <c r="T157" s="1570"/>
      <c r="U157" s="1570"/>
      <c r="V157" s="1570"/>
      <c r="W157" s="1570"/>
      <c r="X157" s="1570"/>
      <c r="Y157" s="8"/>
      <c r="Z157" s="8"/>
      <c r="AA157" s="8"/>
      <c r="AB157" s="8"/>
      <c r="AC157" s="8"/>
      <c r="AD157" s="8"/>
      <c r="AE157" s="8"/>
      <c r="AF157" s="8"/>
      <c r="BN157" s="23" t="s">
        <v>634</v>
      </c>
      <c r="BS157">
        <v>2</v>
      </c>
      <c r="BT157" t="s">
        <v>474</v>
      </c>
      <c r="CB157" s="286" t="s">
        <v>645</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2.9" customHeight="1">
      <c r="D158" t="s">
        <v>315</v>
      </c>
      <c r="O158" s="1880">
        <v>95020</v>
      </c>
      <c r="P158" s="1880"/>
      <c r="Q158" s="1880"/>
      <c r="R158" s="1880"/>
      <c r="S158" s="9"/>
      <c r="T158" s="9"/>
      <c r="U158" s="9"/>
      <c r="V158" s="9"/>
      <c r="W158" s="9"/>
      <c r="X158" s="9"/>
      <c r="Y158" s="9"/>
      <c r="Z158" s="9"/>
      <c r="AA158" s="9"/>
      <c r="AB158" s="9"/>
      <c r="AC158" s="9"/>
      <c r="AD158" s="9"/>
      <c r="AE158" s="9"/>
      <c r="AF158" s="9"/>
      <c r="BN158" s="23" t="s">
        <v>635</v>
      </c>
      <c r="BS158">
        <v>7</v>
      </c>
      <c r="BT158" t="s">
        <v>475</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 customHeight="1" thickBot="1">
      <c r="D159" t="s">
        <v>316</v>
      </c>
      <c r="O159" s="1869" t="s">
        <v>2669</v>
      </c>
      <c r="P159" s="1869"/>
      <c r="Q159" s="1869"/>
      <c r="R159" s="1869"/>
      <c r="S159" s="1869"/>
      <c r="T159" s="1869"/>
      <c r="V159" s="97" t="s">
        <v>271</v>
      </c>
      <c r="W159" s="1881"/>
      <c r="X159" s="1881"/>
      <c r="Y159" s="10"/>
      <c r="Z159" s="10"/>
      <c r="AA159" s="10"/>
      <c r="AB159" s="10"/>
      <c r="AC159" s="10"/>
      <c r="AD159" s="10"/>
      <c r="AE159" s="10"/>
      <c r="AF159" s="10"/>
      <c r="BN159" s="23" t="s">
        <v>339</v>
      </c>
      <c r="BS159">
        <v>7</v>
      </c>
      <c r="BT159" t="s">
        <v>476</v>
      </c>
      <c r="CB159" s="343" t="s">
        <v>646</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631</v>
      </c>
      <c r="CT159" s="72" t="s">
        <v>325</v>
      </c>
      <c r="CU159" s="72" t="s">
        <v>163</v>
      </c>
      <c r="CV159" s="72" t="s">
        <v>164</v>
      </c>
      <c r="CW159" s="72" t="s">
        <v>458</v>
      </c>
      <c r="CX159" s="14"/>
      <c r="CY159" s="14"/>
      <c r="CZ159" s="71" t="s">
        <v>631</v>
      </c>
      <c r="DA159" s="72" t="s">
        <v>325</v>
      </c>
      <c r="DB159" s="72" t="s">
        <v>163</v>
      </c>
      <c r="DC159" s="72" t="s">
        <v>164</v>
      </c>
      <c r="DD159" s="72" t="s">
        <v>458</v>
      </c>
    </row>
    <row r="160" spans="1:108" ht="12.9" customHeight="1">
      <c r="D160" t="s">
        <v>317</v>
      </c>
      <c r="O160" s="1869" t="s">
        <v>2670</v>
      </c>
      <c r="P160" s="1869"/>
      <c r="Q160" s="1869"/>
      <c r="R160" s="1869"/>
      <c r="S160" s="1869"/>
      <c r="T160" s="1869"/>
      <c r="U160" s="10"/>
      <c r="V160" s="10"/>
      <c r="W160" s="10"/>
      <c r="X160" s="10"/>
      <c r="Y160" s="10"/>
      <c r="Z160" s="10"/>
      <c r="AA160" s="10"/>
      <c r="AB160" s="10"/>
      <c r="AC160" s="10"/>
      <c r="AD160" s="10"/>
      <c r="AE160" s="10"/>
      <c r="AF160" s="10"/>
      <c r="BN160" s="23" t="s">
        <v>658</v>
      </c>
      <c r="BS160">
        <v>6</v>
      </c>
      <c r="BT160" t="s">
        <v>477</v>
      </c>
      <c r="CB160" s="345" t="s">
        <v>474</v>
      </c>
      <c r="CC160" s="453">
        <v>2970</v>
      </c>
      <c r="CD160" s="454">
        <v>3182</v>
      </c>
      <c r="CE160" s="455">
        <v>3820</v>
      </c>
      <c r="CF160" s="454">
        <v>4412</v>
      </c>
      <c r="CG160" s="455">
        <v>4922</v>
      </c>
      <c r="CH160" s="456">
        <v>5432</v>
      </c>
      <c r="CI160" s="3" t="s">
        <v>474</v>
      </c>
      <c r="CJ160" s="852">
        <v>2142</v>
      </c>
      <c r="CK160" s="852">
        <v>2385</v>
      </c>
      <c r="CL160" s="852">
        <v>2912</v>
      </c>
      <c r="CM160" s="852">
        <v>3724</v>
      </c>
      <c r="CN160" s="852">
        <v>4413</v>
      </c>
      <c r="CR160" s="23" t="s">
        <v>634</v>
      </c>
      <c r="CS160" s="320">
        <v>491221</v>
      </c>
      <c r="CT160" s="320">
        <v>566373</v>
      </c>
      <c r="CU160" s="320">
        <v>683200</v>
      </c>
      <c r="CV160" s="320">
        <v>874496</v>
      </c>
      <c r="CW160" s="320">
        <v>974243</v>
      </c>
      <c r="CX160" s="14"/>
      <c r="CY160" s="23" t="s">
        <v>634</v>
      </c>
      <c r="CZ160" s="320">
        <v>491221</v>
      </c>
      <c r="DA160" s="320">
        <v>566373</v>
      </c>
      <c r="DB160" s="320">
        <v>683200</v>
      </c>
      <c r="DC160" s="320">
        <v>874496</v>
      </c>
      <c r="DD160" s="320">
        <v>974243</v>
      </c>
    </row>
    <row r="161" spans="1:108" ht="12.9" customHeight="1">
      <c r="D161" t="s">
        <v>318</v>
      </c>
      <c r="O161" s="1867" t="s">
        <v>2671</v>
      </c>
      <c r="P161" s="1867"/>
      <c r="Q161" s="1867"/>
      <c r="R161" s="1867"/>
      <c r="S161" s="1867"/>
      <c r="T161" s="1867"/>
      <c r="U161" s="1867"/>
      <c r="V161" s="1867"/>
      <c r="W161" s="1867"/>
      <c r="X161" s="1867"/>
      <c r="Y161" s="1867"/>
      <c r="Z161" s="1867"/>
      <c r="AA161" s="1867"/>
      <c r="AB161" s="1867"/>
      <c r="AC161" s="1867"/>
      <c r="AD161" s="1867"/>
      <c r="AE161" s="1867"/>
      <c r="AF161" s="1867"/>
      <c r="AG161" s="1867"/>
      <c r="AH161" s="1867"/>
      <c r="BJ161" t="s">
        <v>667</v>
      </c>
      <c r="BN161" s="23" t="s">
        <v>659</v>
      </c>
      <c r="BS161">
        <v>7</v>
      </c>
      <c r="BT161" t="s">
        <v>478</v>
      </c>
      <c r="CB161" s="346" t="s">
        <v>475</v>
      </c>
      <c r="CC161" s="457">
        <v>2184</v>
      </c>
      <c r="CD161" s="458">
        <v>2340</v>
      </c>
      <c r="CE161" s="457">
        <v>2810</v>
      </c>
      <c r="CF161" s="458">
        <v>3244</v>
      </c>
      <c r="CG161" s="458">
        <v>3620</v>
      </c>
      <c r="CH161" s="459">
        <v>3994</v>
      </c>
      <c r="CI161" s="3" t="s">
        <v>475</v>
      </c>
      <c r="CJ161" s="852">
        <v>1068</v>
      </c>
      <c r="CK161" s="852">
        <v>1165</v>
      </c>
      <c r="CL161" s="852">
        <v>1529</v>
      </c>
      <c r="CM161" s="852">
        <v>2126</v>
      </c>
      <c r="CN161" s="852">
        <v>2527</v>
      </c>
      <c r="CR161" s="23" t="s">
        <v>635</v>
      </c>
      <c r="CS161" s="318">
        <v>402640</v>
      </c>
      <c r="CT161" s="318">
        <v>464240</v>
      </c>
      <c r="CU161" s="318">
        <v>560000</v>
      </c>
      <c r="CV161" s="318">
        <v>716800</v>
      </c>
      <c r="CW161" s="318">
        <v>798560</v>
      </c>
      <c r="CX161" s="14"/>
      <c r="CY161" s="23" t="s">
        <v>635</v>
      </c>
      <c r="CZ161" s="318">
        <v>402640</v>
      </c>
      <c r="DA161" s="318">
        <v>464240</v>
      </c>
      <c r="DB161" s="318">
        <v>560000</v>
      </c>
      <c r="DC161" s="318">
        <v>716800</v>
      </c>
      <c r="DD161" s="318">
        <v>798560</v>
      </c>
    </row>
    <row r="162" spans="1:108" ht="12.9"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543</v>
      </c>
      <c r="BN162" s="23" t="s">
        <v>660</v>
      </c>
      <c r="BS162">
        <v>7</v>
      </c>
      <c r="BT162" t="s">
        <v>479</v>
      </c>
      <c r="CB162" s="346" t="s">
        <v>476</v>
      </c>
      <c r="CC162" s="460">
        <v>1934</v>
      </c>
      <c r="CD162" s="461">
        <v>2072</v>
      </c>
      <c r="CE162" s="460">
        <v>2486</v>
      </c>
      <c r="CF162" s="461">
        <v>2872</v>
      </c>
      <c r="CG162" s="461">
        <v>3204</v>
      </c>
      <c r="CH162" s="462">
        <v>3536</v>
      </c>
      <c r="CI162" s="3" t="s">
        <v>476</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661</v>
      </c>
      <c r="BS163">
        <v>2</v>
      </c>
      <c r="BT163" t="s">
        <v>480</v>
      </c>
      <c r="CB163" s="346" t="s">
        <v>477</v>
      </c>
      <c r="CC163" s="460">
        <v>1700</v>
      </c>
      <c r="CD163" s="461">
        <v>1820</v>
      </c>
      <c r="CE163" s="460">
        <v>2184</v>
      </c>
      <c r="CF163" s="461">
        <v>2524</v>
      </c>
      <c r="CG163" s="461">
        <v>2816</v>
      </c>
      <c r="CH163" s="462">
        <v>3108</v>
      </c>
      <c r="CI163" s="3" t="s">
        <v>477</v>
      </c>
      <c r="CJ163" s="852">
        <v>1155</v>
      </c>
      <c r="CK163" s="852">
        <v>1270</v>
      </c>
      <c r="CL163" s="852">
        <v>1625</v>
      </c>
      <c r="CM163" s="852">
        <v>2260</v>
      </c>
      <c r="CN163" s="852">
        <v>2726</v>
      </c>
      <c r="CR163" s="23" t="s">
        <v>658</v>
      </c>
      <c r="CS163" s="318">
        <v>369278</v>
      </c>
      <c r="CT163" s="318">
        <v>425774</v>
      </c>
      <c r="CU163" s="318">
        <v>513600</v>
      </c>
      <c r="CV163" s="318">
        <v>657408</v>
      </c>
      <c r="CW163" s="318">
        <v>732394</v>
      </c>
      <c r="CX163" s="14"/>
      <c r="CY163" s="23" t="s">
        <v>658</v>
      </c>
      <c r="CZ163" s="318">
        <v>369278</v>
      </c>
      <c r="DA163" s="318">
        <v>425774</v>
      </c>
      <c r="DB163" s="318">
        <v>513600</v>
      </c>
      <c r="DC163" s="318">
        <v>657408</v>
      </c>
      <c r="DD163" s="318">
        <v>732394</v>
      </c>
    </row>
    <row r="164" spans="1:108" ht="12.9" customHeight="1">
      <c r="C164" s="27"/>
      <c r="D164" s="1890" t="s">
        <v>2163</v>
      </c>
      <c r="E164" s="1890"/>
      <c r="F164" s="1890"/>
      <c r="G164" s="1890"/>
      <c r="H164" s="1890"/>
      <c r="I164" s="1890"/>
      <c r="J164" s="1890"/>
      <c r="K164" s="1890"/>
      <c r="L164" s="1890"/>
      <c r="M164" s="1890"/>
      <c r="N164" s="1890"/>
      <c r="O164" s="1890"/>
      <c r="P164" s="1890"/>
      <c r="Q164" s="1890"/>
      <c r="R164" s="1890"/>
      <c r="S164" s="1890"/>
      <c r="T164" s="1890"/>
      <c r="U164" s="1890"/>
      <c r="V164" s="1890"/>
      <c r="W164" s="1890"/>
      <c r="X164" s="1890"/>
      <c r="Y164" s="1890"/>
      <c r="Z164" s="1890"/>
      <c r="AA164" s="1890"/>
      <c r="AB164" s="1890"/>
      <c r="AC164" s="1890"/>
      <c r="AD164" s="1890"/>
      <c r="AE164" s="1890"/>
      <c r="AF164" s="1890"/>
      <c r="AG164" s="1890"/>
      <c r="AH164" s="1890"/>
      <c r="BN164" s="23" t="s">
        <v>662</v>
      </c>
      <c r="BS164">
        <v>7</v>
      </c>
      <c r="BT164" t="s">
        <v>481</v>
      </c>
      <c r="CB164" s="346" t="s">
        <v>478</v>
      </c>
      <c r="CC164" s="460">
        <v>1796</v>
      </c>
      <c r="CD164" s="461">
        <v>1924</v>
      </c>
      <c r="CE164" s="460">
        <v>2310</v>
      </c>
      <c r="CF164" s="461">
        <v>2668</v>
      </c>
      <c r="CG164" s="461">
        <v>2976</v>
      </c>
      <c r="CH164" s="462">
        <v>3284</v>
      </c>
      <c r="CI164" s="3" t="s">
        <v>478</v>
      </c>
      <c r="CJ164" s="852">
        <v>1078</v>
      </c>
      <c r="CK164" s="852">
        <v>1175</v>
      </c>
      <c r="CL164" s="852">
        <v>1542</v>
      </c>
      <c r="CM164" s="852">
        <v>2145</v>
      </c>
      <c r="CN164" s="852">
        <v>2316</v>
      </c>
      <c r="CR164" s="23" t="s">
        <v>659</v>
      </c>
      <c r="CS164" s="320">
        <v>402640</v>
      </c>
      <c r="CT164" s="320">
        <v>464240</v>
      </c>
      <c r="CU164" s="320">
        <v>560000</v>
      </c>
      <c r="CV164" s="320">
        <v>716800</v>
      </c>
      <c r="CW164" s="320">
        <v>798560</v>
      </c>
      <c r="CX164" s="14"/>
      <c r="CY164" s="23" t="s">
        <v>659</v>
      </c>
      <c r="CZ164" s="320">
        <v>402640</v>
      </c>
      <c r="DA164" s="320">
        <v>464240</v>
      </c>
      <c r="DB164" s="320">
        <v>560000</v>
      </c>
      <c r="DC164" s="320">
        <v>716800</v>
      </c>
      <c r="DD164" s="320">
        <v>798560</v>
      </c>
    </row>
    <row r="165" spans="1:108" ht="12.9"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663</v>
      </c>
      <c r="BS165">
        <v>6</v>
      </c>
      <c r="BT165" t="s">
        <v>482</v>
      </c>
      <c r="CB165" s="346" t="s">
        <v>479</v>
      </c>
      <c r="CC165" s="460">
        <v>1700</v>
      </c>
      <c r="CD165" s="461">
        <v>1820</v>
      </c>
      <c r="CE165" s="460">
        <v>2184</v>
      </c>
      <c r="CF165" s="461">
        <v>2524</v>
      </c>
      <c r="CG165" s="461">
        <v>2816</v>
      </c>
      <c r="CH165" s="462">
        <v>3108</v>
      </c>
      <c r="CI165" s="3" t="s">
        <v>479</v>
      </c>
      <c r="CJ165" s="852">
        <v>989</v>
      </c>
      <c r="CK165" s="852">
        <v>995</v>
      </c>
      <c r="CL165" s="852">
        <v>1306</v>
      </c>
      <c r="CM165" s="852">
        <v>1723</v>
      </c>
      <c r="CN165" s="852">
        <v>1729</v>
      </c>
      <c r="CR165" s="23" t="s">
        <v>660</v>
      </c>
      <c r="CS165" s="318">
        <v>402640</v>
      </c>
      <c r="CT165" s="318">
        <v>464240</v>
      </c>
      <c r="CU165" s="318">
        <v>560000</v>
      </c>
      <c r="CV165" s="318">
        <v>716800</v>
      </c>
      <c r="CW165" s="318">
        <v>798560</v>
      </c>
      <c r="CX165" s="14"/>
      <c r="CY165" s="23" t="s">
        <v>660</v>
      </c>
      <c r="CZ165" s="318">
        <v>402640</v>
      </c>
      <c r="DA165" s="318">
        <v>464240</v>
      </c>
      <c r="DB165" s="318">
        <v>560000</v>
      </c>
      <c r="DC165" s="318">
        <v>716800</v>
      </c>
      <c r="DD165" s="318">
        <v>798560</v>
      </c>
    </row>
    <row r="166" spans="1:108" ht="12.9"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665</v>
      </c>
      <c r="BS166">
        <v>5</v>
      </c>
      <c r="BT166" t="s">
        <v>483</v>
      </c>
      <c r="CB166" s="346" t="s">
        <v>480</v>
      </c>
      <c r="CC166" s="460">
        <v>2970</v>
      </c>
      <c r="CD166" s="461">
        <v>3182</v>
      </c>
      <c r="CE166" s="460">
        <v>3820</v>
      </c>
      <c r="CF166" s="461">
        <v>4412</v>
      </c>
      <c r="CG166" s="461">
        <v>4922</v>
      </c>
      <c r="CH166" s="462">
        <v>5432</v>
      </c>
      <c r="CI166" s="3" t="s">
        <v>480</v>
      </c>
      <c r="CJ166" s="852">
        <v>2142</v>
      </c>
      <c r="CK166" s="852">
        <v>2385</v>
      </c>
      <c r="CL166" s="852">
        <v>2912</v>
      </c>
      <c r="CM166" s="852">
        <v>3724</v>
      </c>
      <c r="CN166" s="852">
        <v>4413</v>
      </c>
      <c r="CR166" s="23" t="s">
        <v>661</v>
      </c>
      <c r="CS166" s="320">
        <v>491221</v>
      </c>
      <c r="CT166" s="320">
        <v>566373</v>
      </c>
      <c r="CU166" s="320">
        <v>683200</v>
      </c>
      <c r="CV166" s="320">
        <v>874496</v>
      </c>
      <c r="CW166" s="320">
        <v>974243</v>
      </c>
      <c r="CX166" s="14"/>
      <c r="CY166" s="23" t="s">
        <v>661</v>
      </c>
      <c r="CZ166" s="320">
        <v>491221</v>
      </c>
      <c r="DA166" s="320">
        <v>566373</v>
      </c>
      <c r="DB166" s="320">
        <v>683200</v>
      </c>
      <c r="DC166" s="320">
        <v>874496</v>
      </c>
      <c r="DD166" s="320">
        <v>974243</v>
      </c>
    </row>
    <row r="167" spans="1:108" ht="12.9"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668</v>
      </c>
      <c r="BS167">
        <v>7</v>
      </c>
      <c r="BT167" t="s">
        <v>484</v>
      </c>
      <c r="CB167" s="346" t="s">
        <v>481</v>
      </c>
      <c r="CC167" s="460">
        <v>1700</v>
      </c>
      <c r="CD167" s="461">
        <v>1820</v>
      </c>
      <c r="CE167" s="460">
        <v>2184</v>
      </c>
      <c r="CF167" s="461">
        <v>2524</v>
      </c>
      <c r="CG167" s="461">
        <v>2816</v>
      </c>
      <c r="CH167" s="462">
        <v>3108</v>
      </c>
      <c r="CI167" s="3" t="s">
        <v>481</v>
      </c>
      <c r="CJ167" s="852">
        <v>957</v>
      </c>
      <c r="CK167" s="852">
        <v>1222</v>
      </c>
      <c r="CL167" s="852">
        <v>1370</v>
      </c>
      <c r="CM167" s="852">
        <v>1905</v>
      </c>
      <c r="CN167" s="852">
        <v>2277</v>
      </c>
      <c r="CR167" s="23" t="s">
        <v>662</v>
      </c>
      <c r="CS167" s="318">
        <v>402640</v>
      </c>
      <c r="CT167" s="318">
        <v>464240</v>
      </c>
      <c r="CU167" s="318">
        <v>560000</v>
      </c>
      <c r="CV167" s="318">
        <v>716800</v>
      </c>
      <c r="CW167" s="318">
        <v>798560</v>
      </c>
      <c r="CX167" s="14"/>
      <c r="CY167" s="23" t="s">
        <v>662</v>
      </c>
      <c r="CZ167" s="318">
        <v>402640</v>
      </c>
      <c r="DA167" s="318">
        <v>464240</v>
      </c>
      <c r="DB167" s="318">
        <v>560000</v>
      </c>
      <c r="DC167" s="318">
        <v>716800</v>
      </c>
      <c r="DD167" s="318">
        <v>798560</v>
      </c>
    </row>
    <row r="168" spans="1:108" ht="12.9"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669</v>
      </c>
      <c r="BS168">
        <v>7</v>
      </c>
      <c r="BT168" t="s">
        <v>485</v>
      </c>
      <c r="CB168" s="346" t="s">
        <v>482</v>
      </c>
      <c r="CC168" s="460">
        <v>2300</v>
      </c>
      <c r="CD168" s="461">
        <v>2464</v>
      </c>
      <c r="CE168" s="460">
        <v>2956</v>
      </c>
      <c r="CF168" s="461">
        <v>3416</v>
      </c>
      <c r="CG168" s="461">
        <v>3812</v>
      </c>
      <c r="CH168" s="462">
        <v>4206</v>
      </c>
      <c r="CI168" s="3" t="s">
        <v>482</v>
      </c>
      <c r="CJ168" s="852">
        <v>1748</v>
      </c>
      <c r="CK168" s="852">
        <v>1832</v>
      </c>
      <c r="CL168" s="852">
        <v>2255</v>
      </c>
      <c r="CM168" s="852">
        <v>3002</v>
      </c>
      <c r="CN168" s="852">
        <v>3460</v>
      </c>
      <c r="CR168" s="23" t="s">
        <v>663</v>
      </c>
      <c r="CS168" s="320">
        <v>360075</v>
      </c>
      <c r="CT168" s="320">
        <v>415163</v>
      </c>
      <c r="CU168" s="320">
        <v>500800</v>
      </c>
      <c r="CV168" s="320">
        <v>641024</v>
      </c>
      <c r="CW168" s="320">
        <v>714141</v>
      </c>
      <c r="CX168" s="14"/>
      <c r="CY168" s="23" t="s">
        <v>663</v>
      </c>
      <c r="CZ168" s="320">
        <v>360075</v>
      </c>
      <c r="DA168" s="320">
        <v>415163</v>
      </c>
      <c r="DB168" s="320">
        <v>500800</v>
      </c>
      <c r="DC168" s="320">
        <v>641024</v>
      </c>
      <c r="DD168" s="320">
        <v>714141</v>
      </c>
    </row>
    <row r="169" spans="1:108" ht="12.9" customHeight="1">
      <c r="A169" s="1575" t="s">
        <v>537</v>
      </c>
      <c r="B169" s="1575"/>
      <c r="C169" s="1575"/>
      <c r="D169" s="1575"/>
      <c r="E169" s="1575"/>
      <c r="F169" s="1575"/>
      <c r="G169" s="1575"/>
      <c r="H169" s="1575"/>
      <c r="I169" s="1575"/>
      <c r="J169" s="1575"/>
      <c r="K169" s="1575"/>
      <c r="L169" s="1575"/>
      <c r="M169" s="1575"/>
      <c r="N169" s="1575"/>
      <c r="O169" s="1575"/>
      <c r="P169" s="1575"/>
      <c r="Q169" s="1575"/>
      <c r="R169" s="1575"/>
      <c r="S169" s="1575"/>
      <c r="T169" s="1575"/>
      <c r="U169" s="1575"/>
      <c r="V169" s="1575"/>
      <c r="W169" s="1575"/>
      <c r="X169" s="1575"/>
      <c r="Y169" s="1575"/>
      <c r="Z169" s="1575"/>
      <c r="AA169" s="1575"/>
      <c r="AB169" s="1575"/>
      <c r="AC169" s="1575"/>
      <c r="AD169" s="1575"/>
      <c r="AE169" s="1575"/>
      <c r="AF169" s="1575"/>
      <c r="AG169" s="1575"/>
      <c r="AH169" s="1575"/>
      <c r="AI169" s="1575"/>
      <c r="AJ169" s="1575"/>
      <c r="AK169" s="1575"/>
      <c r="AL169" s="1575"/>
      <c r="AM169" s="1575"/>
      <c r="AN169" s="1575"/>
      <c r="AO169" s="1575"/>
      <c r="AP169" s="1575"/>
      <c r="AQ169" s="1575"/>
      <c r="AR169" s="1575"/>
      <c r="AS169" s="1575"/>
      <c r="AT169" s="1575"/>
      <c r="AU169" s="95"/>
      <c r="AV169" s="95"/>
      <c r="AW169" s="95"/>
      <c r="AX169" s="95"/>
      <c r="AY169" s="95"/>
      <c r="BN169" s="23" t="s">
        <v>671</v>
      </c>
      <c r="BS169">
        <v>5</v>
      </c>
      <c r="BT169" t="s">
        <v>486</v>
      </c>
      <c r="CB169" s="346" t="s">
        <v>483</v>
      </c>
      <c r="CC169" s="460">
        <v>1700</v>
      </c>
      <c r="CD169" s="461">
        <v>1820</v>
      </c>
      <c r="CE169" s="460">
        <v>2184</v>
      </c>
      <c r="CF169" s="461">
        <v>2524</v>
      </c>
      <c r="CG169" s="461">
        <v>2816</v>
      </c>
      <c r="CH169" s="462">
        <v>3108</v>
      </c>
      <c r="CI169" s="3" t="s">
        <v>483</v>
      </c>
      <c r="CJ169" s="852">
        <v>1347</v>
      </c>
      <c r="CK169" s="852">
        <v>1355</v>
      </c>
      <c r="CL169" s="852">
        <v>1664</v>
      </c>
      <c r="CM169" s="852">
        <v>2314</v>
      </c>
      <c r="CN169" s="852">
        <v>2660</v>
      </c>
      <c r="CR169" s="23" t="s">
        <v>665</v>
      </c>
      <c r="CS169" s="318">
        <v>323262</v>
      </c>
      <c r="CT169" s="318">
        <v>372718</v>
      </c>
      <c r="CU169" s="318">
        <v>449600</v>
      </c>
      <c r="CV169" s="318">
        <v>575488</v>
      </c>
      <c r="CW169" s="318">
        <v>641130</v>
      </c>
      <c r="CX169" s="14"/>
      <c r="CY169" s="23" t="s">
        <v>665</v>
      </c>
      <c r="CZ169" s="318">
        <v>323262</v>
      </c>
      <c r="DA169" s="318">
        <v>372718</v>
      </c>
      <c r="DB169" s="318">
        <v>449600</v>
      </c>
      <c r="DC169" s="318">
        <v>575488</v>
      </c>
      <c r="DD169" s="318">
        <v>641130</v>
      </c>
    </row>
    <row r="170" spans="1:108" ht="12.9" customHeight="1">
      <c r="A170" s="1575"/>
      <c r="B170" s="1575"/>
      <c r="C170" s="1575"/>
      <c r="D170" s="1575"/>
      <c r="E170" s="1575"/>
      <c r="F170" s="1575"/>
      <c r="G170" s="1575"/>
      <c r="H170" s="1575"/>
      <c r="I170" s="1575"/>
      <c r="J170" s="1575"/>
      <c r="K170" s="1575"/>
      <c r="L170" s="1575"/>
      <c r="M170" s="1575"/>
      <c r="N170" s="1575"/>
      <c r="O170" s="1575"/>
      <c r="P170" s="1575"/>
      <c r="Q170" s="1575"/>
      <c r="R170" s="1575"/>
      <c r="S170" s="1575"/>
      <c r="T170" s="1575"/>
      <c r="U170" s="1575"/>
      <c r="V170" s="1575"/>
      <c r="W170" s="1575"/>
      <c r="X170" s="1575"/>
      <c r="Y170" s="1575"/>
      <c r="Z170" s="1575"/>
      <c r="AA170" s="1575"/>
      <c r="AB170" s="1575"/>
      <c r="AC170" s="1575"/>
      <c r="AD170" s="1575"/>
      <c r="AE170" s="1575"/>
      <c r="AF170" s="1575"/>
      <c r="AG170" s="1575"/>
      <c r="AH170" s="1575"/>
      <c r="AI170" s="1575"/>
      <c r="AJ170" s="1575"/>
      <c r="AK170" s="1575"/>
      <c r="AL170" s="1575"/>
      <c r="AM170" s="1575"/>
      <c r="AN170" s="1575"/>
      <c r="AO170" s="1575"/>
      <c r="AP170" s="1575"/>
      <c r="AQ170" s="1575"/>
      <c r="AR170" s="1575"/>
      <c r="AS170" s="1575"/>
      <c r="AT170" s="1575"/>
      <c r="AU170" s="95"/>
      <c r="AV170" s="95"/>
      <c r="AW170" s="95"/>
      <c r="AX170" s="95"/>
      <c r="AY170" s="95"/>
      <c r="BN170" s="23" t="s">
        <v>672</v>
      </c>
      <c r="BS170">
        <v>7</v>
      </c>
      <c r="BT170" t="s">
        <v>487</v>
      </c>
      <c r="CB170" s="346" t="s">
        <v>484</v>
      </c>
      <c r="CC170" s="460">
        <v>1700</v>
      </c>
      <c r="CD170" s="461">
        <v>1820</v>
      </c>
      <c r="CE170" s="460">
        <v>2184</v>
      </c>
      <c r="CF170" s="461">
        <v>2524</v>
      </c>
      <c r="CG170" s="461">
        <v>2816</v>
      </c>
      <c r="CH170" s="462">
        <v>3108</v>
      </c>
      <c r="CI170" s="3" t="s">
        <v>484</v>
      </c>
      <c r="CJ170" s="852">
        <v>939</v>
      </c>
      <c r="CK170" s="852">
        <v>1038</v>
      </c>
      <c r="CL170" s="852">
        <v>1362</v>
      </c>
      <c r="CM170" s="852">
        <v>1807</v>
      </c>
      <c r="CN170" s="852">
        <v>2179</v>
      </c>
      <c r="CR170" s="23" t="s">
        <v>668</v>
      </c>
      <c r="CS170" s="320">
        <v>402640</v>
      </c>
      <c r="CT170" s="320">
        <v>464240</v>
      </c>
      <c r="CU170" s="320">
        <v>560000</v>
      </c>
      <c r="CV170" s="320">
        <v>716800</v>
      </c>
      <c r="CW170" s="320">
        <v>798560</v>
      </c>
      <c r="CX170" s="14"/>
      <c r="CY170" s="23" t="s">
        <v>668</v>
      </c>
      <c r="CZ170" s="320">
        <v>402640</v>
      </c>
      <c r="DA170" s="320">
        <v>464240</v>
      </c>
      <c r="DB170" s="320">
        <v>560000</v>
      </c>
      <c r="DC170" s="320">
        <v>716800</v>
      </c>
      <c r="DD170" s="320">
        <v>798560</v>
      </c>
    </row>
    <row r="171" spans="1:108" ht="12.9" customHeight="1">
      <c r="BN171" s="23" t="s">
        <v>211</v>
      </c>
      <c r="BS171">
        <v>5</v>
      </c>
      <c r="BT171" t="s">
        <v>488</v>
      </c>
      <c r="CB171" s="346" t="s">
        <v>485</v>
      </c>
      <c r="CC171" s="460">
        <v>1700</v>
      </c>
      <c r="CD171" s="461">
        <v>1820</v>
      </c>
      <c r="CE171" s="460">
        <v>2184</v>
      </c>
      <c r="CF171" s="461">
        <v>2524</v>
      </c>
      <c r="CG171" s="461">
        <v>2816</v>
      </c>
      <c r="CH171" s="462">
        <v>3108</v>
      </c>
      <c r="CI171" s="3" t="s">
        <v>485</v>
      </c>
      <c r="CJ171" s="852">
        <v>1112</v>
      </c>
      <c r="CK171" s="852">
        <v>1186</v>
      </c>
      <c r="CL171" s="852">
        <v>1550</v>
      </c>
      <c r="CM171" s="852">
        <v>2156</v>
      </c>
      <c r="CN171" s="852">
        <v>2600</v>
      </c>
      <c r="CR171" s="23" t="s">
        <v>669</v>
      </c>
      <c r="CS171" s="318">
        <v>402640</v>
      </c>
      <c r="CT171" s="318">
        <v>464240</v>
      </c>
      <c r="CU171" s="318">
        <v>560000</v>
      </c>
      <c r="CV171" s="318">
        <v>716800</v>
      </c>
      <c r="CW171" s="318">
        <v>798560</v>
      </c>
      <c r="CX171" s="14"/>
      <c r="CY171" s="23" t="s">
        <v>669</v>
      </c>
      <c r="CZ171" s="318">
        <v>402640</v>
      </c>
      <c r="DA171" s="318">
        <v>464240</v>
      </c>
      <c r="DB171" s="318">
        <v>560000</v>
      </c>
      <c r="DC171" s="318">
        <v>716800</v>
      </c>
      <c r="DD171" s="318">
        <v>798560</v>
      </c>
    </row>
    <row r="172" spans="1:108" ht="12.9" customHeight="1">
      <c r="A172" s="2" t="s">
        <v>319</v>
      </c>
      <c r="C172" s="2" t="s">
        <v>320</v>
      </c>
      <c r="BN172" s="23" t="s">
        <v>213</v>
      </c>
      <c r="BS172">
        <v>5</v>
      </c>
      <c r="BT172" t="s">
        <v>489</v>
      </c>
      <c r="CB172" s="346" t="s">
        <v>486</v>
      </c>
      <c r="CC172" s="460">
        <v>1700</v>
      </c>
      <c r="CD172" s="461">
        <v>1820</v>
      </c>
      <c r="CE172" s="460">
        <v>2184</v>
      </c>
      <c r="CF172" s="461">
        <v>2524</v>
      </c>
      <c r="CG172" s="461">
        <v>2816</v>
      </c>
      <c r="CH172" s="462">
        <v>3108</v>
      </c>
      <c r="CI172" s="3" t="s">
        <v>486</v>
      </c>
      <c r="CJ172" s="852">
        <v>939</v>
      </c>
      <c r="CK172" s="852">
        <v>1038</v>
      </c>
      <c r="CL172" s="852">
        <v>1362</v>
      </c>
      <c r="CM172" s="852">
        <v>1845</v>
      </c>
      <c r="CN172" s="852">
        <v>2285</v>
      </c>
      <c r="CR172" s="23" t="s">
        <v>671</v>
      </c>
      <c r="CS172" s="320">
        <v>381933</v>
      </c>
      <c r="CT172" s="320">
        <v>440365</v>
      </c>
      <c r="CU172" s="320">
        <v>531200</v>
      </c>
      <c r="CV172" s="320">
        <v>679936</v>
      </c>
      <c r="CW172" s="320">
        <v>757491</v>
      </c>
      <c r="CX172" s="14"/>
      <c r="CY172" s="23" t="s">
        <v>671</v>
      </c>
      <c r="CZ172" s="320">
        <v>381933</v>
      </c>
      <c r="DA172" s="320">
        <v>440365</v>
      </c>
      <c r="DB172" s="320">
        <v>531200</v>
      </c>
      <c r="DC172" s="320">
        <v>679936</v>
      </c>
      <c r="DD172" s="320">
        <v>757491</v>
      </c>
    </row>
    <row r="173" spans="1:108" ht="12.9" customHeight="1">
      <c r="C173" s="24"/>
      <c r="D173" t="s">
        <v>321</v>
      </c>
      <c r="J173" s="1886" t="s">
        <v>2672</v>
      </c>
      <c r="K173" s="1886"/>
      <c r="L173" s="1886"/>
      <c r="M173" s="1886"/>
      <c r="N173" s="1886"/>
      <c r="O173" s="1886"/>
      <c r="P173" s="1886"/>
      <c r="Q173" s="1886"/>
      <c r="R173" s="1886"/>
      <c r="S173" s="1886"/>
      <c r="U173" s="25"/>
      <c r="X173" s="25"/>
      <c r="BB173" s="3" t="s">
        <v>307</v>
      </c>
      <c r="BN173" s="23" t="s">
        <v>214</v>
      </c>
      <c r="BS173">
        <v>7</v>
      </c>
      <c r="BT173" t="s">
        <v>490</v>
      </c>
      <c r="CB173" s="346" t="s">
        <v>487</v>
      </c>
      <c r="CC173" s="460">
        <v>1700</v>
      </c>
      <c r="CD173" s="461">
        <v>1820</v>
      </c>
      <c r="CE173" s="460">
        <v>2184</v>
      </c>
      <c r="CF173" s="461">
        <v>2524</v>
      </c>
      <c r="CG173" s="461">
        <v>2816</v>
      </c>
      <c r="CH173" s="462">
        <v>3108</v>
      </c>
      <c r="CI173" s="3" t="s">
        <v>487</v>
      </c>
      <c r="CJ173" s="852">
        <v>1058</v>
      </c>
      <c r="CK173" s="852">
        <v>1381</v>
      </c>
      <c r="CL173" s="852">
        <v>1514</v>
      </c>
      <c r="CM173" s="852">
        <v>1940</v>
      </c>
      <c r="CN173" s="852">
        <v>2540</v>
      </c>
      <c r="CR173" s="23" t="s">
        <v>672</v>
      </c>
      <c r="CS173" s="318">
        <v>402640</v>
      </c>
      <c r="CT173" s="318">
        <v>464240</v>
      </c>
      <c r="CU173" s="318">
        <v>560000</v>
      </c>
      <c r="CV173" s="318">
        <v>716800</v>
      </c>
      <c r="CW173" s="318">
        <v>798560</v>
      </c>
      <c r="CX173" s="14"/>
      <c r="CY173" s="23" t="s">
        <v>672</v>
      </c>
      <c r="CZ173" s="318">
        <v>402640</v>
      </c>
      <c r="DA173" s="318">
        <v>464240</v>
      </c>
      <c r="DB173" s="318">
        <v>560000</v>
      </c>
      <c r="DC173" s="318">
        <v>716800</v>
      </c>
      <c r="DD173" s="318">
        <v>798560</v>
      </c>
    </row>
    <row r="174" spans="1:108" ht="12.9" customHeight="1">
      <c r="C174" s="24"/>
      <c r="D174" s="3" t="s">
        <v>1199</v>
      </c>
      <c r="J174" s="1539" t="s">
        <v>2049</v>
      </c>
      <c r="K174" s="1539"/>
      <c r="L174" s="1539"/>
      <c r="M174" s="1539"/>
      <c r="N174" s="1539"/>
      <c r="O174" s="1539"/>
      <c r="P174" s="1539"/>
      <c r="Q174" s="1539"/>
      <c r="R174" s="1539"/>
      <c r="S174" s="1539"/>
      <c r="T174" s="1539"/>
      <c r="U174" s="1539"/>
      <c r="V174" s="1539"/>
      <c r="W174" s="1539"/>
      <c r="X174" s="1539"/>
      <c r="Y174" s="1539"/>
      <c r="Z174" s="1539"/>
      <c r="AA174" s="1539"/>
      <c r="AB174" s="1539"/>
      <c r="BB174" t="s">
        <v>1935</v>
      </c>
      <c r="BN174" s="23" t="s">
        <v>216</v>
      </c>
      <c r="BS174">
        <v>7</v>
      </c>
      <c r="BT174" t="s">
        <v>491</v>
      </c>
      <c r="CB174" s="346" t="s">
        <v>488</v>
      </c>
      <c r="CC174" s="460">
        <v>1700</v>
      </c>
      <c r="CD174" s="461">
        <v>1820</v>
      </c>
      <c r="CE174" s="460">
        <v>2184</v>
      </c>
      <c r="CF174" s="461">
        <v>2524</v>
      </c>
      <c r="CG174" s="461">
        <v>2816</v>
      </c>
      <c r="CH174" s="462">
        <v>3108</v>
      </c>
      <c r="CI174" s="3" t="s">
        <v>488</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 customHeight="1">
      <c r="C175" s="8"/>
      <c r="D175" s="3" t="s">
        <v>322</v>
      </c>
      <c r="O175" s="27"/>
      <c r="U175" s="1424" t="s">
        <v>543</v>
      </c>
      <c r="V175" s="1424"/>
      <c r="BB175" t="s">
        <v>1903</v>
      </c>
      <c r="BN175" s="23" t="s">
        <v>217</v>
      </c>
      <c r="BS175">
        <v>1</v>
      </c>
      <c r="BT175" t="s">
        <v>492</v>
      </c>
      <c r="CB175" s="346" t="s">
        <v>489</v>
      </c>
      <c r="CC175" s="460">
        <v>1700</v>
      </c>
      <c r="CD175" s="461">
        <v>1820</v>
      </c>
      <c r="CE175" s="460">
        <v>2184</v>
      </c>
      <c r="CF175" s="461">
        <v>2524</v>
      </c>
      <c r="CG175" s="461">
        <v>2816</v>
      </c>
      <c r="CH175" s="462">
        <v>3108</v>
      </c>
      <c r="CI175" s="3" t="s">
        <v>489</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 customHeight="1">
      <c r="C176" s="8"/>
      <c r="D176" s="26"/>
      <c r="E176" t="s">
        <v>304</v>
      </c>
      <c r="O176" s="27"/>
      <c r="P176" t="s">
        <v>2028</v>
      </c>
      <c r="T176" s="27" t="s">
        <v>305</v>
      </c>
      <c r="U176" s="1514">
        <v>26</v>
      </c>
      <c r="V176" s="1514"/>
      <c r="W176" s="1" t="s">
        <v>306</v>
      </c>
      <c r="X176" s="1872">
        <v>614</v>
      </c>
      <c r="Y176" s="1872"/>
      <c r="BB176" t="s">
        <v>1936</v>
      </c>
      <c r="BN176" s="23" t="s">
        <v>219</v>
      </c>
      <c r="BS176">
        <v>5</v>
      </c>
      <c r="BT176" t="s">
        <v>493</v>
      </c>
      <c r="CB176" s="346" t="s">
        <v>490</v>
      </c>
      <c r="CC176" s="460">
        <v>1700</v>
      </c>
      <c r="CD176" s="461">
        <v>1820</v>
      </c>
      <c r="CE176" s="460">
        <v>2184</v>
      </c>
      <c r="CF176" s="461">
        <v>2524</v>
      </c>
      <c r="CG176" s="461">
        <v>2816</v>
      </c>
      <c r="CH176" s="462">
        <v>3108</v>
      </c>
      <c r="CI176" s="3" t="s">
        <v>490</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 customHeight="1">
      <c r="C177" s="24"/>
      <c r="D177" t="s">
        <v>249</v>
      </c>
      <c r="R177" s="1424" t="s">
        <v>667</v>
      </c>
      <c r="S177" s="1424"/>
      <c r="BB177" t="s">
        <v>2160</v>
      </c>
      <c r="BN177" s="23" t="s">
        <v>220</v>
      </c>
      <c r="BS177">
        <v>2</v>
      </c>
      <c r="BT177" t="s">
        <v>494</v>
      </c>
      <c r="CB177" s="346" t="s">
        <v>491</v>
      </c>
      <c r="CC177" s="460">
        <v>1700</v>
      </c>
      <c r="CD177" s="461">
        <v>1820</v>
      </c>
      <c r="CE177" s="460">
        <v>2184</v>
      </c>
      <c r="CF177" s="461">
        <v>2524</v>
      </c>
      <c r="CG177" s="461">
        <v>2816</v>
      </c>
      <c r="CH177" s="462">
        <v>3108</v>
      </c>
      <c r="CI177" s="3" t="s">
        <v>491</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 customHeight="1">
      <c r="C178" s="24"/>
      <c r="D178" s="3" t="s">
        <v>1200</v>
      </c>
      <c r="AA178" t="s">
        <v>2028</v>
      </c>
      <c r="AE178" s="27" t="s">
        <v>305</v>
      </c>
      <c r="AF178" s="1871"/>
      <c r="AG178" s="1871"/>
      <c r="AH178" s="1" t="s">
        <v>306</v>
      </c>
      <c r="AI178" s="1893"/>
      <c r="AJ178" s="1893"/>
      <c r="AK178" s="1893"/>
      <c r="BB178" t="s">
        <v>2161</v>
      </c>
      <c r="BN178" s="23" t="s">
        <v>221</v>
      </c>
      <c r="BS178">
        <v>7</v>
      </c>
      <c r="BT178" t="s">
        <v>53</v>
      </c>
      <c r="CB178" s="346" t="s">
        <v>492</v>
      </c>
      <c r="CC178" s="460">
        <v>2914</v>
      </c>
      <c r="CD178" s="461">
        <v>3122</v>
      </c>
      <c r="CE178" s="460">
        <v>3746</v>
      </c>
      <c r="CF178" s="461">
        <v>4330</v>
      </c>
      <c r="CG178" s="461">
        <v>4830</v>
      </c>
      <c r="CH178" s="462">
        <v>5330</v>
      </c>
      <c r="CI178" s="3" t="s">
        <v>492</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 customHeight="1">
      <c r="C179" s="24"/>
      <c r="BN179" s="23" t="s">
        <v>222</v>
      </c>
      <c r="BS179">
        <v>7</v>
      </c>
      <c r="BT179" t="s">
        <v>54</v>
      </c>
      <c r="CB179" s="346" t="s">
        <v>493</v>
      </c>
      <c r="CC179" s="460">
        <v>1700</v>
      </c>
      <c r="CD179" s="461">
        <v>1820</v>
      </c>
      <c r="CE179" s="460">
        <v>2184</v>
      </c>
      <c r="CF179" s="461">
        <v>2524</v>
      </c>
      <c r="CG179" s="461">
        <v>2816</v>
      </c>
      <c r="CH179" s="462">
        <v>3108</v>
      </c>
      <c r="CI179" s="3" t="s">
        <v>493</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 customHeight="1">
      <c r="C180" s="24"/>
      <c r="D180" s="3" t="s">
        <v>2623</v>
      </c>
      <c r="X180" s="1424" t="s">
        <v>667</v>
      </c>
      <c r="Y180" s="1424"/>
      <c r="BN180" s="23" t="s">
        <v>224</v>
      </c>
      <c r="BS180">
        <v>5</v>
      </c>
      <c r="BT180" t="s">
        <v>55</v>
      </c>
      <c r="CB180" s="346" t="s">
        <v>494</v>
      </c>
      <c r="CC180" s="460">
        <v>3676</v>
      </c>
      <c r="CD180" s="461">
        <v>3940</v>
      </c>
      <c r="CE180" s="460">
        <v>4726</v>
      </c>
      <c r="CF180" s="461">
        <v>5462</v>
      </c>
      <c r="CG180" s="461">
        <v>6094</v>
      </c>
      <c r="CH180" s="462">
        <v>6724</v>
      </c>
      <c r="CI180" s="3" t="s">
        <v>494</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 customHeight="1">
      <c r="C181" s="8"/>
      <c r="E181" s="4" t="s">
        <v>974</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 customHeight="1">
      <c r="A183" s="2" t="s">
        <v>574</v>
      </c>
      <c r="C183" s="2" t="s">
        <v>575</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 customHeight="1">
      <c r="C184" s="21"/>
      <c r="D184" t="s">
        <v>576</v>
      </c>
      <c r="I184" s="1512" t="str">
        <f>H18</f>
        <v>8955 Monterey Apartments</v>
      </c>
      <c r="J184" s="1512"/>
      <c r="K184" s="1512"/>
      <c r="L184" s="1512"/>
      <c r="M184" s="1512"/>
      <c r="N184" s="1512"/>
      <c r="O184" s="1512"/>
      <c r="P184" s="1512"/>
      <c r="Q184" s="1512"/>
      <c r="R184" s="1512"/>
      <c r="S184" s="1512"/>
      <c r="T184" s="1512"/>
      <c r="U184" s="1512"/>
      <c r="V184" s="1512"/>
      <c r="W184" s="1512"/>
      <c r="X184" s="1512"/>
      <c r="Y184" s="1512"/>
      <c r="Z184" s="1512"/>
      <c r="AA184" s="1512"/>
      <c r="AB184" s="1512"/>
      <c r="AC184" s="1512"/>
      <c r="AD184" s="1512"/>
      <c r="AE184" s="1512"/>
      <c r="BC184" t="s">
        <v>585</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 customHeight="1">
      <c r="C185" s="21"/>
      <c r="D185" t="s">
        <v>577</v>
      </c>
      <c r="I185" s="1516" t="s">
        <v>2673</v>
      </c>
      <c r="J185" s="1516"/>
      <c r="K185" s="1516"/>
      <c r="L185" s="1516"/>
      <c r="M185" s="1516"/>
      <c r="N185" s="1516"/>
      <c r="O185" s="1516"/>
      <c r="P185" s="1516"/>
      <c r="Q185" s="1516"/>
      <c r="R185" s="1516"/>
      <c r="S185" s="1516"/>
      <c r="T185" s="1516"/>
      <c r="U185" s="1516"/>
      <c r="V185" s="1516"/>
      <c r="W185" s="1516"/>
      <c r="X185" s="1516"/>
      <c r="Y185" s="1516"/>
      <c r="Z185" s="1516"/>
      <c r="AA185" s="1516"/>
      <c r="AB185" s="1516"/>
      <c r="AC185" s="1516"/>
      <c r="AD185" s="1516"/>
      <c r="AE185" s="1516"/>
      <c r="BC185" t="s">
        <v>586</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 customHeight="1">
      <c r="C187" s="21"/>
      <c r="E187" s="1892"/>
      <c r="F187" s="1892"/>
      <c r="G187" s="1892"/>
      <c r="H187" s="1892"/>
      <c r="I187" s="1892"/>
      <c r="J187" s="1892"/>
      <c r="K187" s="1892"/>
      <c r="L187" s="1892"/>
      <c r="M187" s="1892"/>
      <c r="N187" s="1892"/>
      <c r="O187" s="1892"/>
      <c r="P187" s="1892"/>
      <c r="Q187" s="1892"/>
      <c r="R187" s="1892"/>
      <c r="S187" s="1892"/>
      <c r="T187" s="1892"/>
      <c r="U187" s="1892"/>
      <c r="V187" s="1892"/>
      <c r="W187" s="1892"/>
      <c r="X187" s="1892"/>
      <c r="Y187" s="1892"/>
      <c r="Z187" s="1892"/>
      <c r="AA187" s="1892"/>
      <c r="AB187" s="1892"/>
      <c r="AC187" s="1892"/>
      <c r="AD187" s="1892"/>
      <c r="AE187" s="1892"/>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 customHeight="1">
      <c r="C188" s="21"/>
      <c r="E188" s="1835"/>
      <c r="F188" s="1835"/>
      <c r="G188" s="1835"/>
      <c r="H188" s="1835"/>
      <c r="I188" s="1835"/>
      <c r="J188" s="1835"/>
      <c r="K188" s="1835"/>
      <c r="L188" s="1835"/>
      <c r="M188" s="1835"/>
      <c r="N188" s="1835"/>
      <c r="O188" s="1835"/>
      <c r="P188" s="1835"/>
      <c r="Q188" s="1835"/>
      <c r="R188" s="1835"/>
      <c r="S188" s="1835"/>
      <c r="T188" s="1835"/>
      <c r="U188" s="1835"/>
      <c r="V188" s="1835"/>
      <c r="W188" s="1835"/>
      <c r="X188" s="1835"/>
      <c r="Y188" s="1835"/>
      <c r="Z188" s="1835"/>
      <c r="AA188" s="1835"/>
      <c r="AB188" s="1835"/>
      <c r="AC188" s="1835"/>
      <c r="AD188" s="1835"/>
      <c r="AE188" s="1835"/>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 customHeight="1">
      <c r="C189" s="21"/>
      <c r="D189" t="s">
        <v>578</v>
      </c>
      <c r="I189" s="1557" t="s">
        <v>2668</v>
      </c>
      <c r="J189" s="1539"/>
      <c r="K189" s="1539"/>
      <c r="L189" s="1539"/>
      <c r="M189" s="1539"/>
      <c r="N189" s="1539"/>
      <c r="O189" s="1539"/>
      <c r="P189" s="1539"/>
      <c r="Q189" t="s">
        <v>580</v>
      </c>
      <c r="T189" s="1539" t="s">
        <v>192</v>
      </c>
      <c r="U189" s="1539"/>
      <c r="V189" s="1539"/>
      <c r="W189" s="1539"/>
      <c r="X189" s="1539"/>
      <c r="Y189" s="1539"/>
      <c r="Z189" s="1539"/>
      <c r="AA189" s="1539"/>
      <c r="AB189" s="1539"/>
      <c r="AC189" s="1539"/>
      <c r="AD189" s="1539"/>
      <c r="AE189" s="1539"/>
      <c r="BC189" t="s">
        <v>307</v>
      </c>
      <c r="BH189" s="3" t="s">
        <v>589</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 customHeight="1">
      <c r="C190" s="21"/>
      <c r="D190" t="s">
        <v>581</v>
      </c>
      <c r="I190" s="1516">
        <v>95020</v>
      </c>
      <c r="J190" s="1516"/>
      <c r="K190" s="1516"/>
      <c r="L190" s="1516"/>
      <c r="M190" s="1516"/>
      <c r="N190" s="1516"/>
      <c r="O190" t="s">
        <v>583</v>
      </c>
      <c r="T190" s="1878">
        <v>5125.13</v>
      </c>
      <c r="U190" s="1878"/>
      <c r="V190" s="1878"/>
      <c r="W190" s="1878"/>
      <c r="X190" s="1878"/>
      <c r="Y190" s="1878"/>
      <c r="Z190" s="1878"/>
      <c r="AA190" s="1878"/>
      <c r="AB190" s="1878"/>
      <c r="AC190" s="1878"/>
      <c r="AD190" s="1878"/>
      <c r="AE190" s="1878"/>
      <c r="BC190" t="s">
        <v>1039</v>
      </c>
      <c r="BH190" t="s">
        <v>1039</v>
      </c>
      <c r="BN190" s="23" t="s">
        <v>633</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 customHeight="1">
      <c r="C191" s="21"/>
      <c r="D191" t="s">
        <v>460</v>
      </c>
      <c r="N191" s="1892" t="s">
        <v>2674</v>
      </c>
      <c r="O191" s="1892"/>
      <c r="P191" s="1892"/>
      <c r="Q191" s="1892"/>
      <c r="R191" s="1892"/>
      <c r="S191" s="1892"/>
      <c r="T191" s="1892"/>
      <c r="U191" s="1892"/>
      <c r="V191" s="1892"/>
      <c r="W191" s="1892"/>
      <c r="X191" s="1892"/>
      <c r="Y191" s="1892"/>
      <c r="Z191" s="1892"/>
      <c r="AA191" s="1892"/>
      <c r="AB191" s="1892"/>
      <c r="AC191" s="1892"/>
      <c r="AD191" s="1892"/>
      <c r="AE191" s="1892"/>
      <c r="BC191" t="s">
        <v>1038</v>
      </c>
      <c r="BH191" t="s">
        <v>1038</v>
      </c>
      <c r="BN191" s="23" t="s">
        <v>686</v>
      </c>
      <c r="BS191">
        <v>4</v>
      </c>
      <c r="BT191" t="s">
        <v>725</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 customHeight="1">
      <c r="C192" s="21"/>
      <c r="M192" s="40"/>
      <c r="N192" s="1835"/>
      <c r="O192" s="1835"/>
      <c r="P192" s="1835"/>
      <c r="Q192" s="1835"/>
      <c r="R192" s="1835"/>
      <c r="S192" s="1835"/>
      <c r="T192" s="1835"/>
      <c r="U192" s="1835"/>
      <c r="V192" s="1835"/>
      <c r="W192" s="1835"/>
      <c r="X192" s="1835"/>
      <c r="Y192" s="1835"/>
      <c r="Z192" s="1835"/>
      <c r="AA192" s="1835"/>
      <c r="AB192" s="1835"/>
      <c r="AC192" s="1835"/>
      <c r="AD192" s="1835"/>
      <c r="AE192" s="1835"/>
      <c r="BC192" t="s">
        <v>1041</v>
      </c>
      <c r="BH192" s="3" t="s">
        <v>1355</v>
      </c>
      <c r="BN192" s="23" t="s">
        <v>687</v>
      </c>
      <c r="BS192">
        <v>5</v>
      </c>
      <c r="BT192" t="s">
        <v>726</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 customHeight="1">
      <c r="C193" s="21"/>
      <c r="D193" t="s">
        <v>2029</v>
      </c>
      <c r="M193" s="40"/>
      <c r="N193" s="885"/>
      <c r="O193" s="885"/>
      <c r="P193" s="885"/>
      <c r="Q193" s="885"/>
      <c r="R193" s="885"/>
      <c r="S193" s="885"/>
      <c r="T193" s="1882" t="s">
        <v>2160</v>
      </c>
      <c r="U193" s="1882"/>
      <c r="V193" s="1882"/>
      <c r="W193" s="1882"/>
      <c r="X193" s="1882"/>
      <c r="Y193" s="1882"/>
      <c r="Z193" s="1882"/>
      <c r="AA193" s="1882"/>
      <c r="AB193" s="1882"/>
      <c r="AC193" s="1882"/>
      <c r="AD193" s="1882"/>
      <c r="AE193" s="1882"/>
      <c r="AF193" s="1882"/>
      <c r="AG193" s="1882"/>
      <c r="AH193" s="1882"/>
      <c r="AI193" s="1882"/>
      <c r="BC193" t="s">
        <v>1040</v>
      </c>
      <c r="BH193" s="3" t="s">
        <v>1615</v>
      </c>
      <c r="BN193" s="23" t="s">
        <v>688</v>
      </c>
      <c r="BS193">
        <v>4</v>
      </c>
      <c r="BT193" t="s">
        <v>727</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633</v>
      </c>
      <c r="CS193" s="318">
        <v>360075</v>
      </c>
      <c r="CT193" s="318">
        <v>415163</v>
      </c>
      <c r="CU193" s="318">
        <v>500800</v>
      </c>
      <c r="CV193" s="318">
        <v>641024</v>
      </c>
      <c r="CW193" s="318">
        <v>714141</v>
      </c>
      <c r="CX193" s="14"/>
      <c r="CY193" s="23" t="s">
        <v>633</v>
      </c>
      <c r="CZ193" s="318">
        <v>360075</v>
      </c>
      <c r="DA193" s="318">
        <v>415163</v>
      </c>
      <c r="DB193" s="318">
        <v>500800</v>
      </c>
      <c r="DC193" s="318">
        <v>641024</v>
      </c>
      <c r="DD193" s="318">
        <v>714141</v>
      </c>
    </row>
    <row r="194" spans="1:108" ht="12.9" customHeight="1">
      <c r="C194" s="21"/>
      <c r="D194" s="3" t="s">
        <v>2162</v>
      </c>
      <c r="M194" s="40"/>
      <c r="N194" s="885"/>
      <c r="O194" s="885"/>
      <c r="P194" s="885"/>
      <c r="Q194" s="885"/>
      <c r="R194" s="885"/>
      <c r="S194" s="885"/>
      <c r="AH194" s="1424" t="s">
        <v>667</v>
      </c>
      <c r="AI194" s="1424"/>
      <c r="BC194" t="s">
        <v>1355</v>
      </c>
      <c r="BN194" s="23" t="s">
        <v>689</v>
      </c>
      <c r="BS194">
        <v>2</v>
      </c>
      <c r="BT194" t="s">
        <v>728</v>
      </c>
      <c r="CB194" s="346" t="s">
        <v>725</v>
      </c>
      <c r="CC194" s="460">
        <v>2572</v>
      </c>
      <c r="CD194" s="461">
        <v>2754</v>
      </c>
      <c r="CE194" s="460">
        <v>3306</v>
      </c>
      <c r="CF194" s="461">
        <v>3820</v>
      </c>
      <c r="CG194" s="461">
        <v>4262</v>
      </c>
      <c r="CH194" s="462">
        <v>4702</v>
      </c>
      <c r="CI194" s="34" t="s">
        <v>725</v>
      </c>
      <c r="CJ194" s="1031">
        <v>2205</v>
      </c>
      <c r="CK194" s="1031">
        <v>2212</v>
      </c>
      <c r="CL194" s="1031">
        <v>2902</v>
      </c>
      <c r="CM194" s="1031">
        <v>3944</v>
      </c>
      <c r="CN194" s="1031">
        <v>4190</v>
      </c>
      <c r="CR194" s="23" t="s">
        <v>686</v>
      </c>
      <c r="CS194" s="320">
        <v>402640</v>
      </c>
      <c r="CT194" s="320">
        <v>464240</v>
      </c>
      <c r="CU194" s="320">
        <v>560000</v>
      </c>
      <c r="CV194" s="320">
        <v>716800</v>
      </c>
      <c r="CW194" s="320">
        <v>798560</v>
      </c>
      <c r="CX194" s="14"/>
      <c r="CY194" s="23" t="s">
        <v>686</v>
      </c>
      <c r="CZ194" s="320">
        <v>402640</v>
      </c>
      <c r="DA194" s="320">
        <v>464240</v>
      </c>
      <c r="DB194" s="320">
        <v>560000</v>
      </c>
      <c r="DC194" s="320">
        <v>716800</v>
      </c>
      <c r="DD194" s="320">
        <v>798560</v>
      </c>
    </row>
    <row r="195" spans="1:108" ht="12.9" customHeight="1">
      <c r="C195" s="21"/>
      <c r="D195" t="s">
        <v>331</v>
      </c>
      <c r="T195" s="1424" t="s">
        <v>667</v>
      </c>
      <c r="U195" s="1424"/>
      <c r="W195" t="s">
        <v>682</v>
      </c>
      <c r="AH195" s="1424">
        <v>18</v>
      </c>
      <c r="AI195" s="1424"/>
      <c r="BC195" t="s">
        <v>1824</v>
      </c>
      <c r="BN195" s="23" t="s">
        <v>242</v>
      </c>
      <c r="BS195">
        <v>6</v>
      </c>
      <c r="BT195" t="s">
        <v>729</v>
      </c>
      <c r="CB195" s="346" t="s">
        <v>726</v>
      </c>
      <c r="CC195" s="460">
        <v>2152</v>
      </c>
      <c r="CD195" s="461">
        <v>2306</v>
      </c>
      <c r="CE195" s="460">
        <v>2766</v>
      </c>
      <c r="CF195" s="461">
        <v>3198</v>
      </c>
      <c r="CG195" s="461">
        <v>3566</v>
      </c>
      <c r="CH195" s="462">
        <v>3936</v>
      </c>
      <c r="CI195" s="34" t="s">
        <v>726</v>
      </c>
      <c r="CJ195" s="1031">
        <v>1692</v>
      </c>
      <c r="CK195" s="1031">
        <v>1777</v>
      </c>
      <c r="CL195" s="1031">
        <v>2201</v>
      </c>
      <c r="CM195" s="1031">
        <v>2912</v>
      </c>
      <c r="CN195" s="1031">
        <v>3514</v>
      </c>
      <c r="CR195" s="23" t="s">
        <v>687</v>
      </c>
      <c r="CS195" s="318">
        <v>381933</v>
      </c>
      <c r="CT195" s="318">
        <v>440365</v>
      </c>
      <c r="CU195" s="318">
        <v>531200</v>
      </c>
      <c r="CV195" s="318">
        <v>679936</v>
      </c>
      <c r="CW195" s="318">
        <v>757491</v>
      </c>
      <c r="CX195" s="14"/>
      <c r="CY195" s="23" t="s">
        <v>687</v>
      </c>
      <c r="CZ195" s="318">
        <v>381933</v>
      </c>
      <c r="DA195" s="318">
        <v>440365</v>
      </c>
      <c r="DB195" s="318">
        <v>531200</v>
      </c>
      <c r="DC195" s="318">
        <v>679936</v>
      </c>
      <c r="DD195" s="318">
        <v>757491</v>
      </c>
    </row>
    <row r="196" spans="1:108" ht="12.9" customHeight="1">
      <c r="C196" s="21"/>
      <c r="D196" t="s">
        <v>385</v>
      </c>
      <c r="T196" s="1461" t="s">
        <v>543</v>
      </c>
      <c r="U196" s="1461"/>
      <c r="W196" t="s">
        <v>683</v>
      </c>
      <c r="AH196" s="1424">
        <v>29</v>
      </c>
      <c r="AI196" s="1424"/>
      <c r="BN196" s="23" t="s">
        <v>243</v>
      </c>
      <c r="BS196">
        <v>4</v>
      </c>
      <c r="BT196" t="s">
        <v>69</v>
      </c>
      <c r="CB196" s="346" t="s">
        <v>727</v>
      </c>
      <c r="CC196" s="460">
        <v>3062</v>
      </c>
      <c r="CD196" s="461">
        <v>3280</v>
      </c>
      <c r="CE196" s="460">
        <v>3936</v>
      </c>
      <c r="CF196" s="461">
        <v>4546</v>
      </c>
      <c r="CG196" s="461">
        <v>5072</v>
      </c>
      <c r="CH196" s="462">
        <v>5596</v>
      </c>
      <c r="CI196" s="34" t="s">
        <v>727</v>
      </c>
      <c r="CJ196" s="1031">
        <v>2288</v>
      </c>
      <c r="CK196" s="1031">
        <v>2459</v>
      </c>
      <c r="CL196" s="1031">
        <v>3001</v>
      </c>
      <c r="CM196" s="1031">
        <v>3998</v>
      </c>
      <c r="CN196" s="1031">
        <v>4845</v>
      </c>
      <c r="CR196" s="23" t="s">
        <v>688</v>
      </c>
      <c r="CS196" s="320">
        <v>392286</v>
      </c>
      <c r="CT196" s="320">
        <v>452302</v>
      </c>
      <c r="CU196" s="320">
        <v>545600</v>
      </c>
      <c r="CV196" s="320">
        <v>698368</v>
      </c>
      <c r="CW196" s="320">
        <v>778026</v>
      </c>
      <c r="CX196" s="14"/>
      <c r="CY196" s="23" t="s">
        <v>688</v>
      </c>
      <c r="CZ196" s="320">
        <v>392286</v>
      </c>
      <c r="DA196" s="320">
        <v>452302</v>
      </c>
      <c r="DB196" s="320">
        <v>545600</v>
      </c>
      <c r="DC196" s="320">
        <v>698368</v>
      </c>
      <c r="DD196" s="320">
        <v>778026</v>
      </c>
    </row>
    <row r="197" spans="1:108" ht="12.9" customHeight="1">
      <c r="C197" s="21"/>
      <c r="D197" s="3" t="s">
        <v>169</v>
      </c>
      <c r="T197" s="1461" t="s">
        <v>667</v>
      </c>
      <c r="U197" s="1461"/>
      <c r="W197" t="s">
        <v>684</v>
      </c>
      <c r="AH197" s="1424">
        <v>15</v>
      </c>
      <c r="AI197" s="1424"/>
      <c r="BC197" t="s">
        <v>307</v>
      </c>
      <c r="BN197" s="23" t="s">
        <v>244</v>
      </c>
      <c r="BS197">
        <v>2</v>
      </c>
      <c r="BT197" t="s">
        <v>70</v>
      </c>
      <c r="CB197" s="346" t="s">
        <v>728</v>
      </c>
      <c r="CC197" s="460">
        <v>3676</v>
      </c>
      <c r="CD197" s="461">
        <v>3940</v>
      </c>
      <c r="CE197" s="460">
        <v>4726</v>
      </c>
      <c r="CF197" s="461">
        <v>5462</v>
      </c>
      <c r="CG197" s="461">
        <v>6094</v>
      </c>
      <c r="CH197" s="462">
        <v>6724</v>
      </c>
      <c r="CI197" s="34" t="s">
        <v>728</v>
      </c>
      <c r="CJ197" s="1031">
        <v>2485</v>
      </c>
      <c r="CK197" s="1031">
        <v>2977</v>
      </c>
      <c r="CL197" s="1031">
        <v>3604</v>
      </c>
      <c r="CM197" s="1031">
        <v>4604</v>
      </c>
      <c r="CN197" s="1031">
        <v>4772</v>
      </c>
      <c r="CR197" s="23" t="s">
        <v>689</v>
      </c>
      <c r="CS197" s="318">
        <v>694266</v>
      </c>
      <c r="CT197" s="318">
        <v>800482</v>
      </c>
      <c r="CU197" s="318">
        <v>965600</v>
      </c>
      <c r="CV197" s="318">
        <v>1235968</v>
      </c>
      <c r="CW197" s="318">
        <v>1376946</v>
      </c>
      <c r="CX197" s="14"/>
      <c r="CY197" s="23" t="s">
        <v>689</v>
      </c>
      <c r="CZ197" s="318">
        <v>694266</v>
      </c>
      <c r="DA197" s="318">
        <v>800482</v>
      </c>
      <c r="DB197" s="318">
        <v>965600</v>
      </c>
      <c r="DC197" s="318">
        <v>1235968</v>
      </c>
      <c r="DD197" s="318">
        <v>1376946</v>
      </c>
    </row>
    <row r="198" spans="1:108" s="14" customFormat="1" ht="12.9" customHeight="1">
      <c r="A198"/>
      <c r="B198"/>
      <c r="C198" s="21"/>
      <c r="D198" s="3" t="s">
        <v>1638</v>
      </c>
      <c r="E198"/>
      <c r="F198"/>
      <c r="G198"/>
      <c r="H198"/>
      <c r="I198"/>
      <c r="J198"/>
      <c r="K198"/>
      <c r="L198"/>
      <c r="M198"/>
      <c r="N198"/>
      <c r="O198"/>
      <c r="P198"/>
      <c r="Q198"/>
      <c r="R198"/>
      <c r="S198"/>
      <c r="T198" s="1461">
        <v>0</v>
      </c>
      <c r="U198" s="1461"/>
      <c r="V198"/>
      <c r="X198" s="1567" t="s">
        <v>2436</v>
      </c>
      <c r="Y198" s="1567"/>
      <c r="Z198" s="1567"/>
      <c r="AA198" s="1567"/>
      <c r="AB198" s="1567"/>
      <c r="AC198" s="1567"/>
      <c r="AD198" s="1567"/>
      <c r="AE198" s="1567"/>
      <c r="AF198" s="1567"/>
      <c r="AG198" s="1567"/>
      <c r="AH198" s="1567"/>
      <c r="AI198" s="1567"/>
      <c r="AJ198" s="1567"/>
      <c r="AK198" s="1567"/>
      <c r="AL198" s="1567"/>
      <c r="AM198" s="1567"/>
      <c r="AN198" s="1567"/>
      <c r="AO198" s="1567"/>
      <c r="AP198" s="1567"/>
      <c r="AQ198" s="1567"/>
      <c r="AR198" s="1567"/>
      <c r="AS198" s="1567"/>
      <c r="AT198" s="1567"/>
      <c r="AU198"/>
      <c r="AV198"/>
      <c r="AW198"/>
      <c r="AX198"/>
      <c r="AY198"/>
      <c r="AZ198" s="30"/>
      <c r="BA198" s="30"/>
      <c r="BC198" s="14" t="s">
        <v>589</v>
      </c>
      <c r="BD198"/>
      <c r="BN198" s="23" t="s">
        <v>695</v>
      </c>
      <c r="BO198"/>
      <c r="BP198"/>
      <c r="BQ198"/>
      <c r="BR198"/>
      <c r="BS198">
        <v>4</v>
      </c>
      <c r="BT198" t="s">
        <v>191</v>
      </c>
      <c r="BU198"/>
      <c r="BV198" s="31"/>
      <c r="CB198" s="346" t="s">
        <v>729</v>
      </c>
      <c r="CC198" s="460">
        <v>1892</v>
      </c>
      <c r="CD198" s="461">
        <v>2026</v>
      </c>
      <c r="CE198" s="460">
        <v>2432</v>
      </c>
      <c r="CF198" s="461">
        <v>2810</v>
      </c>
      <c r="CG198" s="461">
        <v>3134</v>
      </c>
      <c r="CH198" s="462">
        <v>3460</v>
      </c>
      <c r="CI198" s="3" t="s">
        <v>729</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 customHeight="1">
      <c r="A199"/>
      <c r="B199"/>
      <c r="C199" s="21"/>
      <c r="D199" s="118" t="s">
        <v>2439</v>
      </c>
      <c r="E199"/>
      <c r="F199"/>
      <c r="G199"/>
      <c r="H199"/>
      <c r="I199"/>
      <c r="J199"/>
      <c r="K199"/>
      <c r="L199"/>
      <c r="M199"/>
      <c r="N199"/>
      <c r="O199"/>
      <c r="P199"/>
      <c r="Q199"/>
      <c r="R199"/>
      <c r="S199"/>
      <c r="T199" s="1424" t="s">
        <v>667</v>
      </c>
      <c r="U199" s="1424"/>
      <c r="V199"/>
      <c r="W199"/>
      <c r="X199" s="1567"/>
      <c r="Y199" s="1567"/>
      <c r="Z199" s="1567"/>
      <c r="AA199" s="1567"/>
      <c r="AB199" s="1567"/>
      <c r="AC199" s="1567"/>
      <c r="AD199" s="1567"/>
      <c r="AE199" s="1567"/>
      <c r="AF199" s="1567"/>
      <c r="AG199" s="1567"/>
      <c r="AH199" s="1567"/>
      <c r="AI199" s="1567"/>
      <c r="AJ199" s="1567"/>
      <c r="AK199" s="1567"/>
      <c r="AL199" s="1567"/>
      <c r="AM199" s="1567"/>
      <c r="AN199" s="1567"/>
      <c r="AO199" s="1567"/>
      <c r="AP199" s="1567"/>
      <c r="AQ199" s="1567"/>
      <c r="AR199" s="1567"/>
      <c r="AS199" s="1567"/>
      <c r="AT199" s="1567"/>
      <c r="AU199"/>
      <c r="AV199"/>
      <c r="AW199"/>
      <c r="AX199"/>
      <c r="AY199"/>
      <c r="AZ199" s="30"/>
      <c r="BA199" s="30"/>
      <c r="BC199" t="s">
        <v>873</v>
      </c>
      <c r="BD199"/>
      <c r="BN199" s="23" t="s">
        <v>696</v>
      </c>
      <c r="BO199"/>
      <c r="BP199"/>
      <c r="BQ199"/>
      <c r="BR199"/>
      <c r="BS199">
        <v>2</v>
      </c>
      <c r="BT199" s="32" t="s">
        <v>192</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 customHeight="1">
      <c r="A200"/>
      <c r="B200"/>
      <c r="C200" s="21"/>
      <c r="D200" s="14" t="s">
        <v>2437</v>
      </c>
      <c r="T200" s="1424" t="s">
        <v>667</v>
      </c>
      <c r="U200" s="1424"/>
      <c r="V200"/>
      <c r="W200"/>
      <c r="X200"/>
      <c r="Y200"/>
      <c r="AA200"/>
      <c r="AB200" s="1179" t="s">
        <v>916</v>
      </c>
      <c r="AC200"/>
      <c r="AF200"/>
      <c r="AG200"/>
      <c r="AH200" s="1"/>
      <c r="AJ200"/>
      <c r="AK200"/>
      <c r="AL200"/>
      <c r="AM200"/>
      <c r="AN200"/>
      <c r="AO200"/>
      <c r="AP200"/>
      <c r="AQ200"/>
      <c r="AR200"/>
      <c r="AS200"/>
      <c r="AU200"/>
      <c r="AV200"/>
      <c r="AW200"/>
      <c r="AX200"/>
      <c r="AY200"/>
      <c r="AZ200" s="30"/>
      <c r="BA200" s="30"/>
      <c r="BC200" s="3" t="s">
        <v>872</v>
      </c>
      <c r="BD200" s="432"/>
      <c r="BN200" s="23" t="s">
        <v>697</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 customHeight="1">
      <c r="A201"/>
      <c r="B201"/>
      <c r="C201" s="21"/>
      <c r="E201" s="3" t="s">
        <v>2438</v>
      </c>
      <c r="V201"/>
      <c r="X201"/>
      <c r="Y201"/>
      <c r="Z201"/>
      <c r="AB201" s="1179" t="s">
        <v>917</v>
      </c>
      <c r="AC201"/>
      <c r="AH201" s="1"/>
      <c r="AJ201"/>
      <c r="AK201"/>
      <c r="AL201"/>
      <c r="AM201"/>
      <c r="AN201"/>
      <c r="AO201"/>
      <c r="AP201"/>
      <c r="AQ201"/>
      <c r="AR201"/>
      <c r="AS201"/>
      <c r="AU201"/>
      <c r="AV201"/>
      <c r="AW201"/>
      <c r="AX201"/>
      <c r="AY201"/>
      <c r="AZ201" s="30"/>
      <c r="BA201" s="30"/>
      <c r="BC201" s="3" t="s">
        <v>1059</v>
      </c>
      <c r="BD201" s="432"/>
      <c r="BN201" s="23" t="s">
        <v>698</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695</v>
      </c>
      <c r="CS201" s="318">
        <v>442904</v>
      </c>
      <c r="CT201" s="318">
        <v>510664</v>
      </c>
      <c r="CU201" s="318">
        <v>616000</v>
      </c>
      <c r="CV201" s="318">
        <v>788480</v>
      </c>
      <c r="CW201" s="318">
        <v>878416</v>
      </c>
      <c r="CY201" s="23" t="s">
        <v>695</v>
      </c>
      <c r="CZ201" s="318">
        <v>442904</v>
      </c>
      <c r="DA201" s="318">
        <v>510664</v>
      </c>
      <c r="DB201" s="318">
        <v>616000</v>
      </c>
      <c r="DC201" s="318">
        <v>788480</v>
      </c>
      <c r="DD201" s="318">
        <v>878416</v>
      </c>
    </row>
    <row r="202" spans="1:108" ht="12.9" customHeight="1">
      <c r="C202" s="21"/>
      <c r="AE202" s="8"/>
      <c r="BC202" t="s">
        <v>609</v>
      </c>
      <c r="BD202" s="432"/>
      <c r="BN202" s="23" t="s">
        <v>699</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696</v>
      </c>
      <c r="CS202" s="319">
        <v>532060</v>
      </c>
      <c r="CT202" s="319">
        <v>613460</v>
      </c>
      <c r="CU202" s="319">
        <v>740000</v>
      </c>
      <c r="CV202" s="319">
        <v>947200</v>
      </c>
      <c r="CW202" s="319">
        <v>1055240</v>
      </c>
      <c r="CX202" s="14"/>
      <c r="CY202" s="23" t="s">
        <v>696</v>
      </c>
      <c r="CZ202" s="319">
        <v>532060</v>
      </c>
      <c r="DA202" s="319">
        <v>613460</v>
      </c>
      <c r="DB202" s="319">
        <v>740000</v>
      </c>
      <c r="DC202" s="319">
        <v>947200</v>
      </c>
      <c r="DD202" s="319">
        <v>1055240</v>
      </c>
    </row>
    <row r="203" spans="1:108" ht="12.9" customHeight="1">
      <c r="A203" s="2" t="s">
        <v>584</v>
      </c>
      <c r="C203" s="2" t="s">
        <v>136</v>
      </c>
      <c r="BC203" t="s">
        <v>1060</v>
      </c>
      <c r="BN203" s="23" t="s">
        <v>700</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697</v>
      </c>
      <c r="CS203" s="318">
        <v>442904</v>
      </c>
      <c r="CT203" s="318">
        <v>510664</v>
      </c>
      <c r="CU203" s="318">
        <v>616000</v>
      </c>
      <c r="CV203" s="318">
        <v>788480</v>
      </c>
      <c r="CW203" s="318">
        <v>878416</v>
      </c>
      <c r="CX203" s="14"/>
      <c r="CY203" s="23" t="s">
        <v>697</v>
      </c>
      <c r="CZ203" s="318">
        <v>442904</v>
      </c>
      <c r="DA203" s="318">
        <v>510664</v>
      </c>
      <c r="DB203" s="318">
        <v>616000</v>
      </c>
      <c r="DC203" s="318">
        <v>788480</v>
      </c>
      <c r="DD203" s="318">
        <v>878416</v>
      </c>
    </row>
    <row r="204" spans="1:108" ht="12.9" customHeight="1">
      <c r="D204" s="1512" t="s">
        <v>384</v>
      </c>
      <c r="E204" s="1512"/>
      <c r="F204" s="1512"/>
      <c r="G204" s="1512"/>
      <c r="H204" s="1512"/>
      <c r="I204" s="1512"/>
      <c r="J204" s="1512"/>
      <c r="K204" s="1512"/>
      <c r="L204" s="1512"/>
      <c r="M204" s="1512"/>
      <c r="P204" s="1891">
        <f>M26</f>
        <v>3995245</v>
      </c>
      <c r="Q204" s="1870"/>
      <c r="R204" s="1870"/>
      <c r="S204" s="1870"/>
      <c r="T204" s="1870"/>
      <c r="U204" s="1870"/>
      <c r="BC204" t="s">
        <v>1061</v>
      </c>
      <c r="BN204" s="23" t="s">
        <v>701</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698</v>
      </c>
      <c r="CS204" s="320">
        <v>369278</v>
      </c>
      <c r="CT204" s="320">
        <v>425774</v>
      </c>
      <c r="CU204" s="320">
        <v>513600</v>
      </c>
      <c r="CV204" s="320">
        <v>657408</v>
      </c>
      <c r="CW204" s="320">
        <v>732394</v>
      </c>
      <c r="CX204" s="14"/>
      <c r="CY204" s="23" t="s">
        <v>698</v>
      </c>
      <c r="CZ204" s="320">
        <v>369278</v>
      </c>
      <c r="DA204" s="320">
        <v>425774</v>
      </c>
      <c r="DB204" s="320">
        <v>513600</v>
      </c>
      <c r="DC204" s="320">
        <v>657408</v>
      </c>
      <c r="DD204" s="320">
        <v>732394</v>
      </c>
    </row>
    <row r="205" spans="1:108" ht="12.9" customHeight="1">
      <c r="C205" s="21"/>
      <c r="D205" s="1898" t="s">
        <v>1244</v>
      </c>
      <c r="E205" s="1512"/>
      <c r="F205" s="1512"/>
      <c r="G205" s="1512"/>
      <c r="H205" s="1512"/>
      <c r="I205" s="1512"/>
      <c r="J205" s="1512"/>
      <c r="K205" s="1512"/>
      <c r="L205" s="1512"/>
      <c r="M205" s="1512"/>
      <c r="P205" s="1870">
        <f>M27</f>
        <v>0</v>
      </c>
      <c r="Q205" s="1870"/>
      <c r="R205" s="1870"/>
      <c r="S205" s="1870"/>
      <c r="T205" s="1870"/>
      <c r="U205" s="1870"/>
      <c r="V205" s="28"/>
      <c r="W205" s="3" t="s">
        <v>1706</v>
      </c>
      <c r="Z205" s="1896" t="s">
        <v>2166</v>
      </c>
      <c r="AA205" s="1896"/>
      <c r="AB205" s="1896"/>
      <c r="AC205" s="1896"/>
      <c r="AD205" s="1896"/>
      <c r="AE205" s="1896"/>
      <c r="AF205" s="1896"/>
      <c r="AG205" s="1896"/>
      <c r="AH205" s="1896"/>
      <c r="AI205" s="1896"/>
      <c r="AJ205" s="1896"/>
      <c r="AK205" s="1896"/>
      <c r="AL205" s="1896"/>
      <c r="AM205" s="1896"/>
      <c r="AN205" s="1896"/>
      <c r="AP205" s="1426"/>
      <c r="AQ205" s="1426"/>
      <c r="BC205" t="s">
        <v>608</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699</v>
      </c>
      <c r="CS205" s="318">
        <v>402640</v>
      </c>
      <c r="CT205" s="318">
        <v>464240</v>
      </c>
      <c r="CU205" s="318">
        <v>560000</v>
      </c>
      <c r="CV205" s="318">
        <v>716800</v>
      </c>
      <c r="CW205" s="318">
        <v>798560</v>
      </c>
      <c r="CX205" s="14"/>
      <c r="CY205" s="23" t="s">
        <v>699</v>
      </c>
      <c r="CZ205" s="318">
        <v>402640</v>
      </c>
      <c r="DA205" s="318">
        <v>464240</v>
      </c>
      <c r="DB205" s="318">
        <v>560000</v>
      </c>
      <c r="DC205" s="318">
        <v>716800</v>
      </c>
      <c r="DD205" s="318">
        <v>798560</v>
      </c>
    </row>
    <row r="206" spans="1:108" ht="12.9" customHeight="1">
      <c r="D206" s="29"/>
      <c r="E206" s="29"/>
      <c r="F206" s="29"/>
      <c r="G206" s="29"/>
      <c r="H206" s="29"/>
      <c r="I206" s="29"/>
      <c r="J206" s="29"/>
      <c r="K206" s="29"/>
      <c r="L206" s="29"/>
      <c r="M206" s="29"/>
      <c r="N206" s="29"/>
      <c r="O206" s="29"/>
      <c r="P206" s="29"/>
      <c r="BC206" t="s">
        <v>1024</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700</v>
      </c>
      <c r="CS206" s="320">
        <v>402640</v>
      </c>
      <c r="CT206" s="320">
        <v>464240</v>
      </c>
      <c r="CU206" s="320">
        <v>560000</v>
      </c>
      <c r="CV206" s="320">
        <v>716800</v>
      </c>
      <c r="CW206" s="320">
        <v>798560</v>
      </c>
      <c r="CX206" s="14"/>
      <c r="CY206" s="23" t="s">
        <v>700</v>
      </c>
      <c r="CZ206" s="320">
        <v>402640</v>
      </c>
      <c r="DA206" s="320">
        <v>464240</v>
      </c>
      <c r="DB206" s="320">
        <v>560000</v>
      </c>
      <c r="DC206" s="320">
        <v>716800</v>
      </c>
      <c r="DD206" s="320">
        <v>798560</v>
      </c>
    </row>
    <row r="207" spans="1:108" ht="12.9" customHeight="1">
      <c r="A207" s="2" t="s">
        <v>587</v>
      </c>
      <c r="C207" s="2" t="s">
        <v>549</v>
      </c>
      <c r="BC207" s="433" t="s">
        <v>1062</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701</v>
      </c>
      <c r="CS207" s="318">
        <v>406666</v>
      </c>
      <c r="CT207" s="318">
        <v>468882</v>
      </c>
      <c r="CU207" s="318">
        <v>565600</v>
      </c>
      <c r="CV207" s="318">
        <v>723968</v>
      </c>
      <c r="CW207" s="318">
        <v>806546</v>
      </c>
      <c r="CX207" s="14"/>
      <c r="CY207" s="23" t="s">
        <v>701</v>
      </c>
      <c r="CZ207" s="318">
        <v>406666</v>
      </c>
      <c r="DA207" s="318">
        <v>468882</v>
      </c>
      <c r="DB207" s="318">
        <v>565600</v>
      </c>
      <c r="DC207" s="318">
        <v>723968</v>
      </c>
      <c r="DD207" s="318">
        <v>806546</v>
      </c>
    </row>
    <row r="208" spans="1:108" ht="12.9" customHeight="1">
      <c r="C208" s="21"/>
      <c r="D208" s="1570" t="s">
        <v>2675</v>
      </c>
      <c r="E208" s="1570"/>
      <c r="F208" s="1570"/>
      <c r="G208" s="1570"/>
      <c r="H208" s="1570"/>
      <c r="I208" s="1570"/>
      <c r="J208" s="1570"/>
      <c r="K208" s="1570"/>
      <c r="L208" s="1570"/>
      <c r="M208" s="1570"/>
      <c r="BC208" s="3" t="s">
        <v>2153</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 customHeight="1">
      <c r="BC209" t="s">
        <v>1063</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 customHeight="1">
      <c r="A210" s="2" t="s">
        <v>588</v>
      </c>
      <c r="C210" s="2" t="s">
        <v>387</v>
      </c>
      <c r="BC210" t="s">
        <v>657</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 customHeight="1">
      <c r="C211" s="21"/>
      <c r="D211" s="1570" t="s">
        <v>1039</v>
      </c>
      <c r="E211" s="1570"/>
      <c r="F211" s="1570"/>
      <c r="G211" s="1570"/>
      <c r="H211" s="1570"/>
      <c r="I211" s="1570"/>
      <c r="J211" s="1570"/>
      <c r="K211" s="1570"/>
      <c r="L211" s="1570"/>
      <c r="M211" s="1570"/>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 customHeight="1">
      <c r="C212" s="21"/>
      <c r="D212" s="3" t="s">
        <v>2177</v>
      </c>
      <c r="Q212" s="1424">
        <v>0</v>
      </c>
      <c r="R212" s="1424"/>
      <c r="T212" s="1884">
        <f>IFERROR(Q212/AG449,0)</f>
        <v>0</v>
      </c>
      <c r="U212" s="1885"/>
      <c r="BC212" t="s">
        <v>307</v>
      </c>
      <c r="BI212" t="s">
        <v>1181</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 customHeight="1">
      <c r="D213" s="1134" t="s">
        <v>2396</v>
      </c>
      <c r="BC213" t="s">
        <v>524</v>
      </c>
      <c r="BI213" s="3" t="s">
        <v>2174</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 customHeight="1">
      <c r="D214" s="1888" t="s">
        <v>589</v>
      </c>
      <c r="E214" s="1888"/>
      <c r="F214" s="1888"/>
      <c r="G214" s="1888"/>
      <c r="H214" s="1888"/>
      <c r="I214" s="1888"/>
      <c r="J214" s="1888"/>
      <c r="K214" s="1888"/>
      <c r="L214" s="1888"/>
      <c r="M214" s="1888"/>
      <c r="N214" s="1888"/>
      <c r="O214" s="1888"/>
      <c r="P214" s="1888"/>
      <c r="Q214" s="1888"/>
      <c r="R214" s="1888"/>
      <c r="S214" s="1888"/>
      <c r="T214" s="1888"/>
      <c r="U214" s="1888"/>
      <c r="V214" s="1888"/>
      <c r="W214" s="1888"/>
      <c r="X214" s="1888"/>
      <c r="Y214" s="1888"/>
      <c r="Z214" s="1888"/>
      <c r="AU214" s="21"/>
      <c r="AV214" s="21"/>
      <c r="AW214" s="21"/>
      <c r="AX214" s="21"/>
      <c r="AY214" s="21"/>
      <c r="BC214" t="s">
        <v>528</v>
      </c>
      <c r="BI214" s="3" t="s">
        <v>2167</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 customHeight="1">
      <c r="D215" s="3" t="s">
        <v>1639</v>
      </c>
      <c r="Z215" s="40"/>
      <c r="AB215" s="1887"/>
      <c r="AC215" s="1887"/>
      <c r="AD215" s="1887"/>
      <c r="AE215" s="1887"/>
      <c r="AF215" s="1887"/>
      <c r="AG215" s="1887"/>
      <c r="AH215" s="1887"/>
      <c r="AI215" s="1887"/>
      <c r="AJ215" s="1887"/>
      <c r="AK215" s="1887"/>
      <c r="AL215" s="1887"/>
      <c r="AM215" s="21"/>
      <c r="AN215" s="21"/>
      <c r="AO215" s="21"/>
      <c r="AP215" s="21"/>
      <c r="AQ215" s="21"/>
      <c r="AR215" s="21"/>
      <c r="AS215" s="21"/>
      <c r="AT215" s="21"/>
      <c r="AU215" s="21"/>
      <c r="AV215" s="21"/>
      <c r="AW215" s="21"/>
      <c r="AX215" s="21"/>
      <c r="AY215" s="21"/>
      <c r="BC215" t="s">
        <v>525</v>
      </c>
      <c r="BI215" s="3" t="s">
        <v>2168</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 customHeight="1">
      <c r="D216" s="3" t="s">
        <v>1637</v>
      </c>
      <c r="Z216" s="40"/>
      <c r="AB216" s="1887"/>
      <c r="AC216" s="1887"/>
      <c r="AD216" s="1887"/>
      <c r="AE216" s="1887"/>
      <c r="AF216" s="1887"/>
      <c r="AG216" s="1887"/>
      <c r="AH216" s="1887"/>
      <c r="AI216" s="1887"/>
      <c r="AJ216" s="1887"/>
      <c r="AK216" s="1887"/>
      <c r="AL216" s="1887"/>
      <c r="AM216" s="21"/>
      <c r="AN216" s="21"/>
      <c r="AO216" s="21"/>
      <c r="AP216" s="21"/>
      <c r="AQ216" s="21"/>
      <c r="AR216" s="21"/>
      <c r="AS216" s="21"/>
      <c r="AT216" s="21"/>
      <c r="AU216" s="21"/>
      <c r="AV216" s="21"/>
      <c r="AW216" s="21"/>
      <c r="AX216" s="21"/>
      <c r="AY216" s="21"/>
      <c r="BC216" t="s">
        <v>564</v>
      </c>
      <c r="BI216" t="s">
        <v>2166</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526</v>
      </c>
      <c r="BI217" t="s">
        <v>2170</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 customHeight="1">
      <c r="A218" s="2" t="s">
        <v>590</v>
      </c>
      <c r="C218" s="2" t="s">
        <v>2180</v>
      </c>
      <c r="D218" s="28"/>
      <c r="AC218" s="2" t="s">
        <v>2385</v>
      </c>
      <c r="BC218" t="s">
        <v>527</v>
      </c>
    </row>
    <row r="219" spans="1:108" ht="12.9" customHeight="1">
      <c r="A219" s="2"/>
      <c r="C219" s="2"/>
      <c r="D219" s="3" t="s">
        <v>2386</v>
      </c>
      <c r="AZ219" s="3"/>
      <c r="BA219" s="3"/>
      <c r="BC219" t="s">
        <v>376</v>
      </c>
    </row>
    <row r="220" spans="1:108" ht="12.9" customHeight="1">
      <c r="A220" s="2"/>
      <c r="C220" s="2"/>
      <c r="D220" s="1570" t="s">
        <v>1024</v>
      </c>
      <c r="E220" s="1570"/>
      <c r="F220" s="1570"/>
      <c r="G220" s="1570"/>
      <c r="H220" s="1570"/>
      <c r="I220" s="1570"/>
      <c r="J220" s="1570"/>
      <c r="K220" s="1570"/>
      <c r="L220" s="1570"/>
      <c r="M220" s="1570"/>
      <c r="N220" s="1570"/>
      <c r="O220" s="1570"/>
      <c r="P220" s="1570"/>
      <c r="Q220" s="1570"/>
      <c r="R220" s="1570"/>
      <c r="S220" s="1570"/>
      <c r="T220" s="1570"/>
      <c r="U220" s="1570"/>
      <c r="V220" s="1570"/>
      <c r="W220" s="1570"/>
      <c r="X220" s="1570"/>
      <c r="Y220" s="1570"/>
      <c r="Z220" s="1570"/>
      <c r="AC220" s="1897" t="s">
        <v>2388</v>
      </c>
      <c r="AD220" s="1897"/>
      <c r="AE220" s="1897"/>
      <c r="AF220" s="1897"/>
      <c r="AG220" s="1897"/>
      <c r="AH220" s="1897"/>
      <c r="AI220" s="1897"/>
      <c r="AJ220" s="1897"/>
      <c r="AK220" s="1897"/>
      <c r="AL220" s="1897"/>
      <c r="AM220" s="1897"/>
      <c r="AN220" s="1897"/>
      <c r="AO220" s="1897"/>
      <c r="AP220" s="1897"/>
      <c r="AQ220" s="1897"/>
      <c r="BA220" s="3"/>
      <c r="BC220" t="s">
        <v>300</v>
      </c>
    </row>
    <row r="221" spans="1:108" ht="12.9" customHeight="1">
      <c r="A221" s="2"/>
      <c r="B221" s="14"/>
      <c r="C221" s="2"/>
      <c r="BA221" s="3"/>
    </row>
    <row r="222" spans="1:108" ht="12.9" customHeight="1">
      <c r="A222" s="2" t="s">
        <v>2528</v>
      </c>
      <c r="B222" s="14"/>
      <c r="C222" s="2" t="s">
        <v>2529</v>
      </c>
      <c r="BA222" s="3"/>
    </row>
    <row r="223" spans="1:108" ht="12.9" customHeight="1">
      <c r="A223" s="2"/>
      <c r="B223" s="14"/>
      <c r="C223" s="2"/>
      <c r="D223" s="3" t="s">
        <v>2530</v>
      </c>
      <c r="BA223" s="3"/>
    </row>
    <row r="224" spans="1:108" ht="12.9" customHeight="1">
      <c r="A224" s="2"/>
      <c r="B224" s="14"/>
      <c r="C224" s="2"/>
      <c r="E224" s="3" t="s">
        <v>2531</v>
      </c>
      <c r="V224" s="1424" t="s">
        <v>667</v>
      </c>
      <c r="W224" s="1424"/>
      <c r="Y224" s="1188"/>
      <c r="BA224" s="3"/>
    </row>
    <row r="225" spans="1:69" ht="12.9" customHeight="1">
      <c r="A225" s="2"/>
      <c r="B225" s="14"/>
      <c r="C225" s="2"/>
      <c r="E225" s="3" t="s">
        <v>2532</v>
      </c>
      <c r="V225" s="1424" t="s">
        <v>667</v>
      </c>
      <c r="W225" s="1424"/>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2.9" customHeight="1">
      <c r="A226" s="2"/>
      <c r="B226" s="14"/>
      <c r="C226" s="2"/>
      <c r="E226" s="3" t="s">
        <v>2533</v>
      </c>
      <c r="V226" s="1461" t="s">
        <v>667</v>
      </c>
      <c r="W226" s="1461"/>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2.9" customHeight="1">
      <c r="A227" s="2"/>
      <c r="B227" s="14"/>
      <c r="C227" s="2"/>
      <c r="E227" s="3" t="s">
        <v>2534</v>
      </c>
      <c r="V227" s="1461" t="s">
        <v>667</v>
      </c>
      <c r="W227" s="1461"/>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2.9" customHeight="1">
      <c r="A228" s="2"/>
      <c r="B228" s="14"/>
      <c r="C228" s="2"/>
      <c r="E228" s="3" t="s">
        <v>2535</v>
      </c>
      <c r="V228" s="1461" t="s">
        <v>667</v>
      </c>
      <c r="W228" s="1461"/>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2.9" customHeight="1">
      <c r="A229" s="2"/>
      <c r="B229" s="14"/>
      <c r="C229" s="2"/>
      <c r="E229" s="3" t="s">
        <v>2536</v>
      </c>
      <c r="V229" s="1461" t="s">
        <v>667</v>
      </c>
      <c r="W229" s="1461"/>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2.9" customHeight="1">
      <c r="A230" s="2"/>
      <c r="B230" s="14"/>
      <c r="C230" s="2"/>
      <c r="BA230" s="3"/>
    </row>
    <row r="231" spans="1:69" ht="12.9" customHeight="1">
      <c r="A231" s="1575" t="s">
        <v>538</v>
      </c>
      <c r="B231" s="1575"/>
      <c r="C231" s="1575"/>
      <c r="D231" s="1575"/>
      <c r="E231" s="1575"/>
      <c r="F231" s="1575"/>
      <c r="G231" s="1575"/>
      <c r="H231" s="1575"/>
      <c r="I231" s="1575"/>
      <c r="J231" s="1575"/>
      <c r="K231" s="1575"/>
      <c r="L231" s="1575"/>
      <c r="M231" s="1575"/>
      <c r="N231" s="1575"/>
      <c r="O231" s="1575"/>
      <c r="P231" s="1575"/>
      <c r="Q231" s="1575"/>
      <c r="R231" s="1575"/>
      <c r="S231" s="1575"/>
      <c r="T231" s="1575"/>
      <c r="U231" s="1575"/>
      <c r="V231" s="1575"/>
      <c r="W231" s="1575"/>
      <c r="X231" s="1575"/>
      <c r="Y231" s="1575"/>
      <c r="Z231" s="1575"/>
      <c r="AA231" s="1575"/>
      <c r="AB231" s="1575"/>
      <c r="AC231" s="1575"/>
      <c r="AD231" s="1575"/>
      <c r="AE231" s="1575"/>
      <c r="AF231" s="1575"/>
      <c r="AG231" s="1575"/>
      <c r="AH231" s="1575"/>
      <c r="AI231" s="1575"/>
      <c r="AJ231" s="1575"/>
      <c r="AK231" s="1575"/>
      <c r="AL231" s="1575"/>
      <c r="AM231" s="1575"/>
      <c r="AN231" s="1575"/>
      <c r="AO231" s="1575"/>
      <c r="AP231" s="1575"/>
      <c r="AQ231" s="1575"/>
      <c r="AR231" s="1575"/>
      <c r="AS231" s="1575"/>
      <c r="AT231" s="1575"/>
      <c r="AU231" s="95"/>
      <c r="AV231" s="95"/>
      <c r="AW231" s="95"/>
      <c r="AX231" s="95"/>
      <c r="AY231" s="95"/>
      <c r="AZ231" s="3"/>
      <c r="BA231" s="3"/>
      <c r="BP231" s="34"/>
    </row>
    <row r="232" spans="1:69" ht="12.9" customHeight="1">
      <c r="A232" s="1575"/>
      <c r="B232" s="1575"/>
      <c r="C232" s="1575"/>
      <c r="D232" s="1575"/>
      <c r="E232" s="1575"/>
      <c r="F232" s="1575"/>
      <c r="G232" s="1575"/>
      <c r="H232" s="1575"/>
      <c r="I232" s="1575"/>
      <c r="J232" s="1575"/>
      <c r="K232" s="1575"/>
      <c r="L232" s="1575"/>
      <c r="M232" s="1575"/>
      <c r="N232" s="1575"/>
      <c r="O232" s="1575"/>
      <c r="P232" s="1575"/>
      <c r="Q232" s="1575"/>
      <c r="R232" s="1575"/>
      <c r="S232" s="1575"/>
      <c r="T232" s="1575"/>
      <c r="U232" s="1575"/>
      <c r="V232" s="1575"/>
      <c r="W232" s="1575"/>
      <c r="X232" s="1575"/>
      <c r="Y232" s="1575"/>
      <c r="Z232" s="1575"/>
      <c r="AA232" s="1575"/>
      <c r="AB232" s="1575"/>
      <c r="AC232" s="1575"/>
      <c r="AD232" s="1575"/>
      <c r="AE232" s="1575"/>
      <c r="AF232" s="1575"/>
      <c r="AG232" s="1575"/>
      <c r="AH232" s="1575"/>
      <c r="AI232" s="1575"/>
      <c r="AJ232" s="1575"/>
      <c r="AK232" s="1575"/>
      <c r="AL232" s="1575"/>
      <c r="AM232" s="1575"/>
      <c r="AN232" s="1575"/>
      <c r="AO232" s="1575"/>
      <c r="AP232" s="1575"/>
      <c r="AQ232" s="1575"/>
      <c r="AR232" s="1575"/>
      <c r="AS232" s="1575"/>
      <c r="AT232" s="1575"/>
      <c r="BA232" s="3"/>
      <c r="BB232" s="3"/>
      <c r="BQ232" s="34"/>
    </row>
    <row r="233" spans="1:69" ht="12.9" customHeight="1">
      <c r="AZ233" s="4"/>
      <c r="BA233" s="3"/>
      <c r="BB233" s="3"/>
      <c r="BQ233" s="34"/>
    </row>
    <row r="234" spans="1:69" ht="12.9" customHeight="1">
      <c r="A234" s="2" t="s">
        <v>319</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2.9" customHeight="1">
      <c r="B235" s="4"/>
      <c r="D235" s="4" t="s">
        <v>605</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424" t="s">
        <v>589</v>
      </c>
      <c r="AJ235" s="1424"/>
      <c r="AL235" s="3"/>
      <c r="AM235" s="3"/>
      <c r="AN235" s="3"/>
      <c r="AO235" s="3"/>
      <c r="AP235" s="3"/>
      <c r="AQ235" s="3"/>
      <c r="AR235" s="3"/>
      <c r="AS235" s="3"/>
      <c r="AT235" s="3"/>
      <c r="AU235" s="3"/>
      <c r="AV235" s="3"/>
      <c r="AW235" s="3"/>
      <c r="AX235" s="3"/>
      <c r="AY235" s="3"/>
      <c r="AZ235" s="4"/>
      <c r="BB235" s="204" t="s">
        <v>536</v>
      </c>
      <c r="BG235" s="241">
        <f>IF(AND(AND($M$258="for profit",$M$266="for profit",$M$274="nonprofit")),2,0)</f>
        <v>0</v>
      </c>
    </row>
    <row r="236" spans="1:69" ht="12.9" customHeight="1">
      <c r="B236" s="4"/>
      <c r="D236" s="4" t="s">
        <v>552</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424" t="s">
        <v>543</v>
      </c>
      <c r="AJ236" s="1424"/>
      <c r="AL236" s="3"/>
      <c r="AM236" s="3"/>
      <c r="AN236" s="3"/>
      <c r="AO236" s="3"/>
      <c r="AP236" s="3"/>
      <c r="AQ236" s="3"/>
      <c r="AR236" s="3"/>
      <c r="AS236" s="3"/>
      <c r="AT236" s="3"/>
      <c r="AU236" s="3"/>
      <c r="AV236" s="3"/>
      <c r="AW236" s="3"/>
      <c r="AX236" s="3"/>
      <c r="AY236" s="3"/>
      <c r="BA236" s="3"/>
      <c r="BB236" s="204" t="s">
        <v>536</v>
      </c>
      <c r="BG236" s="241">
        <f>IF(AND(AND($M$258="for profit",$M$266="nonprofit",$M$274="for profit")),2,0)</f>
        <v>0</v>
      </c>
    </row>
    <row r="237" spans="1:69" ht="12.9"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424" t="s">
        <v>589</v>
      </c>
      <c r="AJ237" s="1424"/>
      <c r="AL237" s="3"/>
      <c r="AM237" s="3"/>
      <c r="AN237" s="3"/>
      <c r="AO237" s="3"/>
      <c r="AP237" s="3"/>
      <c r="AQ237" s="3"/>
      <c r="AR237" s="3"/>
      <c r="AS237" s="3"/>
      <c r="AT237" s="3"/>
      <c r="AU237" s="3"/>
      <c r="AV237" s="3"/>
      <c r="AW237" s="3"/>
      <c r="AX237" s="3"/>
      <c r="AY237" s="3"/>
      <c r="AZ237" s="4"/>
      <c r="BA237" s="3"/>
      <c r="BB237" s="204" t="s">
        <v>536</v>
      </c>
      <c r="BG237" s="241">
        <f>IF(AND(AND($M$258="nonprofit",$M$266="for profit",$M$274="for profit")),2,0)</f>
        <v>0</v>
      </c>
    </row>
    <row r="238" spans="1:69" ht="12.9"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424" t="s">
        <v>589</v>
      </c>
      <c r="AJ238" s="1424"/>
      <c r="AL238" s="3"/>
      <c r="AM238" s="3"/>
      <c r="AN238" s="3"/>
      <c r="AO238" s="3"/>
      <c r="AP238" s="3"/>
      <c r="AQ238" s="3"/>
      <c r="AR238" s="3"/>
      <c r="AS238" s="3"/>
      <c r="AT238" s="3"/>
      <c r="AU238" s="3"/>
      <c r="AV238" s="3"/>
      <c r="AW238" s="3"/>
      <c r="AX238" s="3"/>
      <c r="AY238" s="3"/>
      <c r="BA238" s="3"/>
      <c r="BB238" s="204" t="s">
        <v>536</v>
      </c>
      <c r="BG238" s="241">
        <f>IF(AND(AND($M$258="for profit",$M$266="nonprofit",$M$274="(select one)")),2,0)</f>
        <v>0</v>
      </c>
    </row>
    <row r="239" spans="1:69" ht="12.9"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536</v>
      </c>
      <c r="BG239" s="240">
        <f>IF(AND(AND($M$258="nonprofit",$M$266="for profit",$M$274="(select one)")),2,0)</f>
        <v>2</v>
      </c>
    </row>
    <row r="240" spans="1:69" ht="12.9" customHeight="1">
      <c r="A240" s="2" t="s">
        <v>574</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2.9" customHeight="1">
      <c r="D241" s="4" t="s">
        <v>468</v>
      </c>
      <c r="E241" s="4"/>
      <c r="F241" s="4"/>
      <c r="G241" s="4"/>
      <c r="H241" s="4"/>
      <c r="I241" s="4"/>
      <c r="J241" s="4"/>
      <c r="K241" s="4"/>
      <c r="M241" s="1879" t="str">
        <f>H16</f>
        <v>CRP Monterey LP</v>
      </c>
      <c r="N241" s="1879"/>
      <c r="O241" s="1879"/>
      <c r="P241" s="1879"/>
      <c r="Q241" s="1879"/>
      <c r="R241" s="1879"/>
      <c r="S241" s="1879"/>
      <c r="T241" s="1879"/>
      <c r="U241" s="1879"/>
      <c r="V241" s="1879"/>
      <c r="W241" s="1879"/>
      <c r="X241" s="1879"/>
      <c r="Y241" s="1879"/>
      <c r="Z241" s="1879"/>
      <c r="AA241" s="1879"/>
      <c r="AB241" s="1879"/>
      <c r="AC241" s="1879"/>
      <c r="AD241" s="1879"/>
      <c r="AE241" s="1879"/>
      <c r="AF241" s="1879"/>
      <c r="AG241" s="1879"/>
      <c r="AH241" s="1879"/>
      <c r="AI241" s="1879"/>
      <c r="AJ241" s="1879"/>
      <c r="AK241" s="1879"/>
      <c r="AZ241" s="4"/>
      <c r="BA241" s="3"/>
      <c r="BB241" s="205" t="s">
        <v>536</v>
      </c>
      <c r="BG241" s="241">
        <f>IF(AND(AND($M$258="nonprofit",$M$266="nonprofit",$M$274="for profit")),2,0)</f>
        <v>0</v>
      </c>
    </row>
    <row r="242" spans="1:67" ht="12.9" customHeight="1">
      <c r="D242" s="4" t="s">
        <v>85</v>
      </c>
      <c r="E242" s="4"/>
      <c r="F242" s="4"/>
      <c r="G242" s="4"/>
      <c r="H242" s="4"/>
      <c r="I242" s="4"/>
      <c r="J242" s="4"/>
      <c r="K242" s="4"/>
      <c r="M242" s="1557" t="s">
        <v>2676</v>
      </c>
      <c r="N242" s="1570"/>
      <c r="O242" s="1570"/>
      <c r="P242" s="1570"/>
      <c r="Q242" s="1570"/>
      <c r="R242" s="1570"/>
      <c r="S242" s="1570"/>
      <c r="T242" s="1570"/>
      <c r="U242" s="1570"/>
      <c r="V242" s="1570"/>
      <c r="W242" s="1570"/>
      <c r="X242" s="1570"/>
      <c r="Y242" s="1570"/>
      <c r="Z242" s="1570"/>
      <c r="AA242" s="1570"/>
      <c r="AB242" s="1570"/>
      <c r="AC242" s="1570"/>
      <c r="AD242" s="1570"/>
      <c r="AE242" s="1570"/>
      <c r="BB242" s="205" t="s">
        <v>536</v>
      </c>
      <c r="BG242" s="241">
        <f>IF(AND(AND($M$258="nonprofit",$M$266="for profit",$M$274="nonprofit")),2,0)</f>
        <v>0</v>
      </c>
    </row>
    <row r="243" spans="1:67" ht="12.9" customHeight="1">
      <c r="D243" s="4" t="s">
        <v>578</v>
      </c>
      <c r="E243" s="4"/>
      <c r="M243" s="1557" t="s">
        <v>2677</v>
      </c>
      <c r="N243" s="1570"/>
      <c r="O243" s="1570"/>
      <c r="P243" s="1570"/>
      <c r="Q243" s="1570"/>
      <c r="R243" s="1570"/>
      <c r="S243" s="1570"/>
      <c r="T243" s="1570"/>
      <c r="V243" s="33" t="s">
        <v>86</v>
      </c>
      <c r="W243" s="1543" t="s">
        <v>2678</v>
      </c>
      <c r="X243" s="1543"/>
      <c r="Y243" s="4" t="s">
        <v>581</v>
      </c>
      <c r="AC243" s="1570">
        <v>10168</v>
      </c>
      <c r="AD243" s="1570"/>
      <c r="AE243" s="1570"/>
      <c r="AU243" s="4"/>
      <c r="AV243" s="4"/>
      <c r="AW243" s="4"/>
      <c r="AX243" s="4"/>
      <c r="AY243" s="4"/>
      <c r="AZ243" s="4"/>
      <c r="BB243" s="205" t="s">
        <v>536</v>
      </c>
      <c r="BG243" s="240">
        <f>IF(AND(AND($M$258="for profit",$M$266="nonprofit",$M$274="nonprofit")),2,0)</f>
        <v>0</v>
      </c>
    </row>
    <row r="244" spans="1:67" ht="12.9" customHeight="1">
      <c r="D244" s="4" t="s">
        <v>87</v>
      </c>
      <c r="E244" s="4"/>
      <c r="F244" s="4"/>
      <c r="G244" s="4"/>
      <c r="H244" s="4"/>
      <c r="I244" s="4"/>
      <c r="J244" s="4"/>
      <c r="K244" s="19"/>
      <c r="M244" s="1557" t="s">
        <v>2679</v>
      </c>
      <c r="N244" s="1570"/>
      <c r="O244" s="1570"/>
      <c r="P244" s="1570"/>
      <c r="Q244" s="1570"/>
      <c r="R244" s="1570"/>
      <c r="S244" s="1570"/>
      <c r="T244" s="1570"/>
      <c r="U244" s="1570"/>
      <c r="V244" s="1570"/>
      <c r="W244" s="1570"/>
      <c r="X244" s="1570"/>
      <c r="Y244" s="1570"/>
      <c r="Z244" s="1570"/>
      <c r="AA244" s="1570"/>
      <c r="AB244" s="1570"/>
      <c r="AC244" s="1570"/>
      <c r="AD244" s="1570"/>
      <c r="AE244" s="1570"/>
      <c r="AI244" s="4"/>
      <c r="AJ244" s="4"/>
      <c r="AK244" s="4"/>
      <c r="AL244" s="4"/>
      <c r="AM244" s="4"/>
      <c r="AN244" s="4"/>
      <c r="AO244" s="4"/>
      <c r="AP244" s="4"/>
      <c r="AQ244" s="4"/>
      <c r="AR244" s="4"/>
      <c r="AS244" s="4"/>
      <c r="AT244" s="4"/>
      <c r="BB244" s="205"/>
      <c r="BG244" s="204"/>
    </row>
    <row r="245" spans="1:67" ht="12.9" customHeight="1">
      <c r="D245" s="4" t="s">
        <v>88</v>
      </c>
      <c r="E245" s="4"/>
      <c r="F245" s="4"/>
      <c r="M245" s="1517" t="s">
        <v>2680</v>
      </c>
      <c r="N245" s="1517"/>
      <c r="O245" s="1517"/>
      <c r="P245" s="1517"/>
      <c r="Q245" s="1517"/>
      <c r="R245" s="1517"/>
      <c r="S245" s="4" t="s">
        <v>206</v>
      </c>
      <c r="T245" s="4"/>
      <c r="U245" s="1543"/>
      <c r="V245" s="1543"/>
      <c r="W245" s="1543"/>
      <c r="X245" s="4" t="s">
        <v>89</v>
      </c>
      <c r="Z245" s="1517"/>
      <c r="AA245" s="1517"/>
      <c r="AB245" s="1517"/>
      <c r="AC245" s="1517"/>
      <c r="AD245" s="1517"/>
      <c r="AE245" s="1517"/>
      <c r="AU245" s="4"/>
      <c r="AV245" s="4"/>
      <c r="AW245" s="4"/>
      <c r="AX245" s="4"/>
      <c r="AY245" s="4"/>
      <c r="AZ245" s="4"/>
      <c r="BB245" s="204" t="s">
        <v>535</v>
      </c>
      <c r="BG245" s="241">
        <f>IF(AND(AND($M$258="nonprofit",$M$266="nonprofit",$M$274="(select one)")),1,0)</f>
        <v>0</v>
      </c>
    </row>
    <row r="246" spans="1:67" ht="12.9" customHeight="1">
      <c r="D246" s="4" t="s">
        <v>90</v>
      </c>
      <c r="E246" s="4"/>
      <c r="F246" s="4"/>
      <c r="M246" s="1867" t="s">
        <v>2681</v>
      </c>
      <c r="N246" s="1867"/>
      <c r="O246" s="1867"/>
      <c r="P246" s="1867"/>
      <c r="Q246" s="1867"/>
      <c r="R246" s="1867"/>
      <c r="S246" s="1867"/>
      <c r="T246" s="1867"/>
      <c r="U246" s="1867"/>
      <c r="V246" s="1867"/>
      <c r="W246" s="1867"/>
      <c r="X246" s="1867"/>
      <c r="Y246" s="1867"/>
      <c r="Z246" s="1867"/>
      <c r="AA246" s="1867"/>
      <c r="AB246" s="1867"/>
      <c r="AC246" s="1867"/>
      <c r="AD246" s="1867"/>
      <c r="AE246" s="1867"/>
      <c r="AF246" s="4"/>
      <c r="AG246" s="4"/>
      <c r="AH246" s="4"/>
      <c r="AI246" s="4"/>
      <c r="AJ246" s="4"/>
      <c r="AK246" s="4"/>
      <c r="AL246" s="4"/>
      <c r="AM246" s="4"/>
      <c r="AN246" s="4"/>
      <c r="AO246" s="4"/>
      <c r="AP246" s="4"/>
      <c r="AQ246" s="4"/>
      <c r="AR246" s="4"/>
      <c r="AS246" s="4"/>
      <c r="AT246" s="4"/>
      <c r="AU246" s="3"/>
      <c r="AV246" s="3"/>
      <c r="AW246" s="3"/>
      <c r="AX246" s="3"/>
      <c r="AY246" s="3"/>
      <c r="BB246" s="204" t="s">
        <v>535</v>
      </c>
      <c r="BG246" s="241">
        <f>IF(AND(AND($M$258="nonprofit",$M$266="nonprofit",$M$274="nonprofit")),1,0)</f>
        <v>0</v>
      </c>
    </row>
    <row r="247" spans="1:67" ht="12.9" customHeight="1">
      <c r="A247" s="2" t="s">
        <v>584</v>
      </c>
      <c r="C247" s="2" t="s">
        <v>523</v>
      </c>
      <c r="M247" s="1516" t="s">
        <v>526</v>
      </c>
      <c r="N247" s="1516"/>
      <c r="O247" s="1516"/>
      <c r="P247" s="1516"/>
      <c r="Q247" s="1516"/>
      <c r="R247" s="1516"/>
      <c r="S247" s="1516"/>
      <c r="T247" s="1516"/>
      <c r="U247" s="204" t="s">
        <v>904</v>
      </c>
      <c r="V247" s="204"/>
      <c r="W247" s="204"/>
      <c r="X247" s="204"/>
      <c r="Y247" s="204"/>
      <c r="Z247" s="204"/>
      <c r="AA247" s="1863" t="s">
        <v>2682</v>
      </c>
      <c r="AB247" s="1863"/>
      <c r="AC247" s="1863"/>
      <c r="AD247" s="1863"/>
      <c r="AE247" s="1863"/>
      <c r="AF247" s="1863"/>
      <c r="AG247" s="1863"/>
      <c r="AH247" s="1863"/>
      <c r="AI247" s="1863"/>
      <c r="AJ247" s="1863"/>
      <c r="AK247" s="1863"/>
      <c r="AL247" s="3"/>
      <c r="AM247" s="3"/>
      <c r="AN247" s="3"/>
      <c r="AO247" s="3"/>
      <c r="AP247" s="3"/>
      <c r="AQ247" s="3"/>
      <c r="AR247" s="3"/>
      <c r="AS247" s="3"/>
      <c r="AT247" s="3"/>
      <c r="AU247" s="3"/>
      <c r="AV247" s="3"/>
      <c r="AW247" s="3"/>
      <c r="AX247" s="3"/>
      <c r="AY247" s="3"/>
      <c r="BB247" s="204" t="s">
        <v>535</v>
      </c>
      <c r="BG247" s="241">
        <f>IF(AND(AND($M$258="nonprofit",$M$266="(select one)",$M$274="(select one)")),1,0)</f>
        <v>0</v>
      </c>
    </row>
    <row r="248" spans="1:67" ht="12.9" customHeight="1">
      <c r="D248" t="s">
        <v>529</v>
      </c>
      <c r="M248" s="1539"/>
      <c r="N248" s="1539"/>
      <c r="O248" s="1539"/>
      <c r="P248" s="1539"/>
      <c r="Q248" s="1539"/>
      <c r="R248" s="1539"/>
      <c r="S248" s="1539"/>
      <c r="T248" s="1539"/>
      <c r="U248" s="1539"/>
      <c r="V248" s="1539"/>
      <c r="W248" s="1539"/>
      <c r="X248" s="1539"/>
      <c r="Y248" s="1539"/>
      <c r="Z248" s="1539"/>
      <c r="AA248" s="1539"/>
      <c r="AB248" s="1539"/>
      <c r="AC248" s="1539"/>
      <c r="AD248" s="1539"/>
      <c r="AE248" s="1539"/>
      <c r="AF248" s="4"/>
      <c r="AG248" s="4"/>
      <c r="AH248" s="4"/>
      <c r="AI248" s="4"/>
      <c r="AJ248" s="4"/>
      <c r="AK248" s="3"/>
      <c r="AL248" s="3"/>
      <c r="AM248" s="3"/>
      <c r="AN248" s="3"/>
      <c r="AO248" s="3"/>
      <c r="AP248" s="3"/>
      <c r="AQ248" s="3"/>
      <c r="AR248" s="3"/>
      <c r="AS248" s="3"/>
      <c r="AT248" s="3"/>
      <c r="BB248" s="204" t="s">
        <v>875</v>
      </c>
      <c r="BG248" s="241">
        <f>IF(AND(AND($M$258="for profit",$M$266="for profit",$M$274="(select one)")),3,0)</f>
        <v>0</v>
      </c>
    </row>
    <row r="249" spans="1:67" ht="12.9" customHeight="1">
      <c r="D249" s="4"/>
      <c r="BB249" s="204" t="s">
        <v>875</v>
      </c>
      <c r="BG249" s="241">
        <f>IF(AND(AND($M$258="for profit",$M$266="for profit",$M$274="for profit")),3,0)</f>
        <v>0</v>
      </c>
    </row>
    <row r="250" spans="1:67" ht="12.9" customHeight="1">
      <c r="A250" s="2" t="s">
        <v>587</v>
      </c>
      <c r="C250" s="2" t="s">
        <v>1180</v>
      </c>
      <c r="D250" s="4"/>
      <c r="L250" s="8"/>
      <c r="M250" s="8"/>
      <c r="N250" s="8"/>
      <c r="AU250" s="3"/>
      <c r="AV250" s="3"/>
      <c r="AW250" s="3"/>
      <c r="AX250" s="3"/>
      <c r="AY250" s="3"/>
      <c r="BB250" s="204" t="s">
        <v>875</v>
      </c>
      <c r="BG250" s="241">
        <f>IF(AND(AND($M$258="for profit",$M$266="(select one)",$M$274="(select one)")),3,0)</f>
        <v>0</v>
      </c>
    </row>
    <row r="251" spans="1:67" ht="12.9"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 customHeight="1">
      <c r="A252" s="19"/>
      <c r="B252" s="4"/>
      <c r="C252" s="56" t="s">
        <v>471</v>
      </c>
      <c r="D252" s="4" t="s">
        <v>530</v>
      </c>
      <c r="E252" s="4"/>
      <c r="F252" s="4"/>
      <c r="G252" s="4"/>
      <c r="H252" s="4"/>
      <c r="I252" s="4"/>
      <c r="J252" s="4"/>
      <c r="K252" s="4"/>
      <c r="L252" s="4"/>
      <c r="M252" s="1573" t="s">
        <v>2683</v>
      </c>
      <c r="N252" s="1573"/>
      <c r="O252" s="1573"/>
      <c r="P252" s="1573"/>
      <c r="Q252" s="1573"/>
      <c r="R252" s="1573"/>
      <c r="S252" s="1573"/>
      <c r="T252" s="1573"/>
      <c r="U252" s="1573"/>
      <c r="V252" s="1573"/>
      <c r="W252" s="1573"/>
      <c r="X252" s="1573"/>
      <c r="Y252" s="1573"/>
      <c r="Z252" s="1573"/>
      <c r="AA252" s="1573"/>
      <c r="AB252" s="1573"/>
      <c r="AC252" s="1573"/>
      <c r="AD252" s="1573"/>
      <c r="AE252" s="1573"/>
      <c r="AF252" s="1573" t="s">
        <v>2684</v>
      </c>
      <c r="AG252" s="1573"/>
      <c r="AH252" s="1573"/>
      <c r="AI252" s="1573"/>
      <c r="AJ252" s="1573"/>
      <c r="AK252" s="1573"/>
      <c r="AU252" s="4"/>
      <c r="AV252" s="4"/>
      <c r="AW252" s="4"/>
      <c r="AX252" s="4"/>
      <c r="AY252" s="4"/>
      <c r="BG252">
        <f>SUM(BG235:BG250)</f>
        <v>2</v>
      </c>
    </row>
    <row r="253" spans="1:67" ht="12.9" customHeight="1">
      <c r="A253" s="19"/>
      <c r="B253" s="4"/>
      <c r="C253" s="4"/>
      <c r="D253" s="4" t="s">
        <v>85</v>
      </c>
      <c r="E253" s="4"/>
      <c r="F253" s="4"/>
      <c r="G253" s="4"/>
      <c r="H253" s="4"/>
      <c r="I253" s="4"/>
      <c r="J253" s="4"/>
      <c r="K253" s="4"/>
      <c r="L253" s="4"/>
      <c r="M253" s="1570" t="s">
        <v>2685</v>
      </c>
      <c r="N253" s="1570"/>
      <c r="O253" s="1570"/>
      <c r="P253" s="1570"/>
      <c r="Q253" s="1570"/>
      <c r="R253" s="1570"/>
      <c r="S253" s="1570"/>
      <c r="T253" s="1570"/>
      <c r="U253" s="1570"/>
      <c r="V253" s="1570"/>
      <c r="W253" s="1570"/>
      <c r="X253" s="1570"/>
      <c r="Y253" s="1570"/>
      <c r="Z253" s="1570"/>
      <c r="AA253" s="1570"/>
      <c r="AB253" s="1570"/>
      <c r="AC253" s="1570"/>
      <c r="AD253" s="1570"/>
      <c r="AE253" s="1570"/>
      <c r="AF253" s="3" t="s">
        <v>1176</v>
      </c>
      <c r="AL253" s="4"/>
      <c r="AM253" s="4"/>
      <c r="AN253" s="4"/>
      <c r="AO253" s="4"/>
      <c r="AP253" s="4"/>
      <c r="AQ253" s="4"/>
      <c r="AR253" s="4"/>
      <c r="AS253" s="4"/>
      <c r="AT253" s="4"/>
      <c r="BB253" t="s">
        <v>307</v>
      </c>
      <c r="BG253">
        <v>1</v>
      </c>
      <c r="BH253" t="s">
        <v>532</v>
      </c>
    </row>
    <row r="254" spans="1:67" ht="12.9" customHeight="1">
      <c r="A254" s="19"/>
      <c r="B254" s="4"/>
      <c r="C254" s="4"/>
      <c r="D254" s="4" t="s">
        <v>578</v>
      </c>
      <c r="E254" s="4"/>
      <c r="M254" s="1570" t="s">
        <v>2686</v>
      </c>
      <c r="N254" s="1570"/>
      <c r="O254" s="1570"/>
      <c r="P254" s="1570"/>
      <c r="Q254" s="1570"/>
      <c r="R254" s="1570"/>
      <c r="S254" s="1570"/>
      <c r="T254" s="1570"/>
      <c r="V254" s="33" t="s">
        <v>86</v>
      </c>
      <c r="W254" s="1543" t="s">
        <v>2687</v>
      </c>
      <c r="X254" s="1543"/>
      <c r="Y254" s="4" t="s">
        <v>581</v>
      </c>
      <c r="AC254" s="1570">
        <v>96001</v>
      </c>
      <c r="AD254" s="1570"/>
      <c r="AE254" s="1570"/>
      <c r="AF254" s="3" t="s">
        <v>1177</v>
      </c>
      <c r="AU254" s="4"/>
      <c r="AV254" s="4"/>
      <c r="AW254" s="4"/>
      <c r="AX254" s="4"/>
      <c r="AY254" s="4"/>
      <c r="BB254" s="4" t="s">
        <v>280</v>
      </c>
      <c r="BG254">
        <v>2</v>
      </c>
      <c r="BH254" t="s">
        <v>564</v>
      </c>
      <c r="BO254" s="239" t="str">
        <f>VLOOKUP(BG252,BG253:BH256,2,FALSE)</f>
        <v>Joint Venture</v>
      </c>
    </row>
    <row r="255" spans="1:67" ht="12.9" customHeight="1">
      <c r="A255" s="19"/>
      <c r="B255" s="4"/>
      <c r="C255" s="4"/>
      <c r="D255" s="4" t="s">
        <v>87</v>
      </c>
      <c r="E255" s="4"/>
      <c r="F255" s="4"/>
      <c r="G255" s="4"/>
      <c r="H255" s="4"/>
      <c r="I255" s="4"/>
      <c r="J255" s="4"/>
      <c r="K255" s="4"/>
      <c r="L255" s="19"/>
      <c r="M255" s="1570" t="s">
        <v>2688</v>
      </c>
      <c r="N255" s="1570"/>
      <c r="O255" s="1570"/>
      <c r="P255" s="1570"/>
      <c r="Q255" s="1570"/>
      <c r="R255" s="1570"/>
      <c r="S255" s="1570"/>
      <c r="T255" s="1570"/>
      <c r="U255" s="1570"/>
      <c r="V255" s="1570"/>
      <c r="W255" s="1570"/>
      <c r="X255" s="1570"/>
      <c r="Y255" s="1570"/>
      <c r="Z255" s="1570"/>
      <c r="AA255" s="1570"/>
      <c r="AB255" s="1570"/>
      <c r="AC255" s="1570"/>
      <c r="AD255" s="1570"/>
      <c r="AE255" s="1570"/>
      <c r="AH255" s="1865">
        <v>4.8999999999999998E-4</v>
      </c>
      <c r="AI255" s="1865"/>
      <c r="AJ255" s="1865"/>
      <c r="AK255" s="1865"/>
      <c r="AL255" s="4"/>
      <c r="AM255" s="4"/>
      <c r="AN255" s="4"/>
      <c r="AO255" s="4"/>
      <c r="AP255" s="4"/>
      <c r="AQ255" s="4"/>
      <c r="AR255" s="4"/>
      <c r="AS255" s="4"/>
      <c r="AT255" s="4"/>
      <c r="BB255" s="4" t="s">
        <v>173</v>
      </c>
      <c r="BG255">
        <v>3</v>
      </c>
      <c r="BH255" t="s">
        <v>534</v>
      </c>
      <c r="BN255" s="34"/>
    </row>
    <row r="256" spans="1:67" ht="12.9" customHeight="1">
      <c r="A256" s="19"/>
      <c r="B256" s="4"/>
      <c r="C256" s="4"/>
      <c r="D256" s="4" t="s">
        <v>88</v>
      </c>
      <c r="E256" s="4"/>
      <c r="F256" s="4"/>
      <c r="M256" s="1517" t="s">
        <v>2689</v>
      </c>
      <c r="N256" s="1517"/>
      <c r="O256" s="1517"/>
      <c r="P256" s="1517"/>
      <c r="Q256" s="1517"/>
      <c r="R256" s="1517"/>
      <c r="S256" s="4" t="s">
        <v>206</v>
      </c>
      <c r="T256" s="4"/>
      <c r="U256" s="1543"/>
      <c r="V256" s="1543"/>
      <c r="W256" s="1543"/>
      <c r="X256" s="4" t="s">
        <v>89</v>
      </c>
      <c r="Z256" s="1517"/>
      <c r="AA256" s="1517"/>
      <c r="AB256" s="1517"/>
      <c r="AC256" s="1517"/>
      <c r="AD256" s="1517"/>
      <c r="AE256" s="1517"/>
      <c r="AU256" s="4"/>
      <c r="AV256" s="4"/>
      <c r="AW256" s="4"/>
      <c r="AX256" s="4"/>
      <c r="AY256" s="4"/>
      <c r="BG256">
        <v>0</v>
      </c>
      <c r="BH256" s="3" t="str">
        <f>""</f>
        <v/>
      </c>
      <c r="BN256" s="34"/>
    </row>
    <row r="257" spans="1:66" ht="12.9" customHeight="1">
      <c r="A257" s="19"/>
      <c r="B257" s="4"/>
      <c r="C257" s="4"/>
      <c r="D257" s="4" t="s">
        <v>90</v>
      </c>
      <c r="E257" s="4"/>
      <c r="F257" s="4"/>
      <c r="M257" s="1867" t="s">
        <v>2690</v>
      </c>
      <c r="N257" s="1867"/>
      <c r="O257" s="1867"/>
      <c r="P257" s="1867"/>
      <c r="Q257" s="1867"/>
      <c r="R257" s="1867"/>
      <c r="S257" s="1867"/>
      <c r="T257" s="1867"/>
      <c r="U257" s="1867"/>
      <c r="V257" s="1867"/>
      <c r="W257" s="1867"/>
      <c r="X257" s="1867"/>
      <c r="Y257" s="1867"/>
      <c r="Z257" s="1867"/>
      <c r="AA257" s="1867"/>
      <c r="AB257" s="1867"/>
      <c r="AC257" s="1867"/>
      <c r="AD257" s="1867"/>
      <c r="AE257" s="1867"/>
      <c r="AG257" s="4"/>
      <c r="AH257" s="4"/>
      <c r="AI257" s="4"/>
      <c r="AJ257" s="4"/>
      <c r="AK257" s="4"/>
      <c r="AL257" s="4"/>
      <c r="AM257" s="4"/>
      <c r="AN257" s="4"/>
      <c r="AO257" s="4"/>
      <c r="AP257" s="4"/>
      <c r="AQ257" s="4"/>
      <c r="AR257" s="4"/>
      <c r="AS257" s="4"/>
      <c r="AT257" s="4"/>
      <c r="BN257" s="34"/>
    </row>
    <row r="258" spans="1:66" ht="12.9" customHeight="1">
      <c r="A258" s="13"/>
      <c r="B258" s="4"/>
      <c r="C258" s="56"/>
      <c r="D258" s="4" t="s">
        <v>533</v>
      </c>
      <c r="E258" s="4"/>
      <c r="F258" s="4"/>
      <c r="G258" s="4"/>
      <c r="H258" s="4"/>
      <c r="I258" s="4"/>
      <c r="J258" s="4"/>
      <c r="K258" s="4"/>
      <c r="L258" s="4"/>
      <c r="M258" s="1516" t="s">
        <v>532</v>
      </c>
      <c r="N258" s="1516"/>
      <c r="O258" s="1516"/>
      <c r="P258" s="1516"/>
      <c r="Q258" s="1516"/>
      <c r="R258" s="1516"/>
      <c r="S258" s="1516"/>
      <c r="T258" s="1516"/>
      <c r="U258" s="204" t="s">
        <v>904</v>
      </c>
      <c r="V258" s="204"/>
      <c r="W258" s="204"/>
      <c r="X258" s="204"/>
      <c r="Y258" s="204"/>
      <c r="Z258" s="204"/>
      <c r="AA258" s="1863"/>
      <c r="AB258" s="1863"/>
      <c r="AC258" s="1863"/>
      <c r="AD258" s="1863"/>
      <c r="AE258" s="1863"/>
      <c r="AF258" s="1863"/>
      <c r="AG258" s="1863"/>
      <c r="AH258" s="1863"/>
      <c r="AI258" s="1863"/>
      <c r="AJ258" s="1863"/>
      <c r="AK258" s="1863"/>
      <c r="BN258" s="34"/>
    </row>
    <row r="259" spans="1:66" ht="12.9" customHeight="1">
      <c r="A259" s="19"/>
      <c r="B259" s="4"/>
      <c r="C259" s="4"/>
      <c r="D259" s="4"/>
      <c r="E259" s="4"/>
      <c r="F259" s="4"/>
      <c r="G259" s="4"/>
      <c r="H259" s="4"/>
      <c r="I259" s="4"/>
      <c r="J259" s="4"/>
      <c r="K259" s="4"/>
      <c r="L259" s="4"/>
      <c r="AG259" s="4"/>
      <c r="AH259" s="4"/>
      <c r="AI259" s="4"/>
      <c r="AJ259" s="4"/>
      <c r="BN259" s="34"/>
    </row>
    <row r="260" spans="1:66" ht="12.9" customHeight="1">
      <c r="A260" s="2"/>
      <c r="B260" s="4"/>
      <c r="C260" s="56" t="s">
        <v>98</v>
      </c>
      <c r="D260" s="4" t="s">
        <v>953</v>
      </c>
      <c r="E260" s="4"/>
      <c r="F260" s="4"/>
      <c r="G260" s="4"/>
      <c r="H260" s="4"/>
      <c r="I260" s="4"/>
      <c r="J260" s="4"/>
      <c r="K260" s="4"/>
      <c r="L260" s="4"/>
      <c r="M260" s="1573" t="s">
        <v>2691</v>
      </c>
      <c r="N260" s="1573"/>
      <c r="O260" s="1573"/>
      <c r="P260" s="1573"/>
      <c r="Q260" s="1573"/>
      <c r="R260" s="1573"/>
      <c r="S260" s="1573"/>
      <c r="T260" s="1573"/>
      <c r="U260" s="1573"/>
      <c r="V260" s="1573"/>
      <c r="W260" s="1573"/>
      <c r="X260" s="1573"/>
      <c r="Y260" s="1573"/>
      <c r="Z260" s="1573"/>
      <c r="AA260" s="1573"/>
      <c r="AB260" s="1573"/>
      <c r="AC260" s="1573"/>
      <c r="AD260" s="1573"/>
      <c r="AE260" s="1573"/>
      <c r="AF260" s="1573" t="s">
        <v>2692</v>
      </c>
      <c r="AG260" s="1573"/>
      <c r="AH260" s="1573"/>
      <c r="AI260" s="1573"/>
      <c r="AJ260" s="1573"/>
      <c r="AK260" s="1573"/>
      <c r="AU260" s="4"/>
      <c r="AV260" s="4"/>
      <c r="AW260" s="4"/>
      <c r="AX260" s="4"/>
      <c r="AY260" s="4"/>
      <c r="BN260" s="34"/>
    </row>
    <row r="261" spans="1:66" ht="12.9" customHeight="1">
      <c r="A261" s="19"/>
      <c r="B261" s="4"/>
      <c r="C261" s="4"/>
      <c r="D261" s="4" t="s">
        <v>85</v>
      </c>
      <c r="E261" s="4"/>
      <c r="F261" s="4"/>
      <c r="G261" s="4"/>
      <c r="H261" s="4"/>
      <c r="I261" s="4"/>
      <c r="J261" s="4"/>
      <c r="K261" s="4"/>
      <c r="L261" s="4"/>
      <c r="M261" s="1570" t="s">
        <v>2676</v>
      </c>
      <c r="N261" s="1570"/>
      <c r="O261" s="1570"/>
      <c r="P261" s="1570"/>
      <c r="Q261" s="1570"/>
      <c r="R261" s="1570"/>
      <c r="S261" s="1570"/>
      <c r="T261" s="1570"/>
      <c r="U261" s="1570"/>
      <c r="V261" s="1570"/>
      <c r="W261" s="1570"/>
      <c r="X261" s="1570"/>
      <c r="Y261" s="1570"/>
      <c r="Z261" s="1570"/>
      <c r="AA261" s="1570"/>
      <c r="AB261" s="1570"/>
      <c r="AC261" s="1570"/>
      <c r="AD261" s="1570"/>
      <c r="AE261" s="1570"/>
      <c r="AF261" s="3" t="s">
        <v>1176</v>
      </c>
      <c r="AL261" s="4"/>
      <c r="AM261" s="4"/>
      <c r="AN261" s="4"/>
      <c r="AO261" s="4"/>
      <c r="AP261" s="4"/>
      <c r="AQ261" s="4"/>
      <c r="AR261" s="4"/>
      <c r="AS261" s="4"/>
      <c r="AT261" s="4"/>
      <c r="BN261" s="34"/>
    </row>
    <row r="262" spans="1:66" ht="12.9" customHeight="1">
      <c r="A262" s="19"/>
      <c r="B262" s="4"/>
      <c r="C262" s="4"/>
      <c r="D262" s="4" t="s">
        <v>578</v>
      </c>
      <c r="E262" s="4"/>
      <c r="M262" s="1570" t="s">
        <v>2677</v>
      </c>
      <c r="N262" s="1570"/>
      <c r="O262" s="1570"/>
      <c r="P262" s="1570"/>
      <c r="Q262" s="1570"/>
      <c r="R262" s="1570"/>
      <c r="S262" s="1570"/>
      <c r="T262" s="1570"/>
      <c r="V262" s="33" t="s">
        <v>86</v>
      </c>
      <c r="W262" s="1543" t="s">
        <v>2678</v>
      </c>
      <c r="X262" s="1543"/>
      <c r="Y262" s="4" t="s">
        <v>581</v>
      </c>
      <c r="AC262" s="1570">
        <v>10168</v>
      </c>
      <c r="AD262" s="1570"/>
      <c r="AE262" s="1570"/>
      <c r="AF262" s="3" t="s">
        <v>1177</v>
      </c>
      <c r="AU262" s="4"/>
      <c r="AV262" s="4"/>
      <c r="AW262" s="4"/>
      <c r="AX262" s="4"/>
      <c r="AY262" s="4"/>
      <c r="BN262" s="34"/>
    </row>
    <row r="263" spans="1:66" ht="12.9" customHeight="1">
      <c r="A263" s="19"/>
      <c r="B263" s="4"/>
      <c r="C263" s="4"/>
      <c r="D263" s="4" t="s">
        <v>87</v>
      </c>
      <c r="E263" s="4"/>
      <c r="F263" s="4"/>
      <c r="G263" s="4"/>
      <c r="H263" s="4"/>
      <c r="I263" s="4"/>
      <c r="J263" s="4"/>
      <c r="K263" s="4"/>
      <c r="L263" s="19"/>
      <c r="M263" s="1570" t="s">
        <v>2679</v>
      </c>
      <c r="N263" s="1570"/>
      <c r="O263" s="1570"/>
      <c r="P263" s="1570"/>
      <c r="Q263" s="1570"/>
      <c r="R263" s="1570"/>
      <c r="S263" s="1570"/>
      <c r="T263" s="1570"/>
      <c r="U263" s="1570"/>
      <c r="V263" s="1570"/>
      <c r="W263" s="1570"/>
      <c r="X263" s="1570"/>
      <c r="Y263" s="1570"/>
      <c r="Z263" s="1570"/>
      <c r="AA263" s="1570"/>
      <c r="AB263" s="1570"/>
      <c r="AC263" s="1570"/>
      <c r="AD263" s="1570"/>
      <c r="AE263" s="1570"/>
      <c r="AH263" s="1865">
        <v>5.1000000000000004E-4</v>
      </c>
      <c r="AI263" s="1865"/>
      <c r="AJ263" s="1865"/>
      <c r="AK263" s="1865"/>
      <c r="AL263" s="4"/>
      <c r="AM263" s="4"/>
      <c r="AN263" s="4"/>
      <c r="AO263" s="4"/>
      <c r="AP263" s="4"/>
      <c r="AQ263" s="4"/>
      <c r="AR263" s="4"/>
      <c r="AS263" s="4"/>
      <c r="AT263" s="4"/>
    </row>
    <row r="264" spans="1:66" ht="12.9" customHeight="1">
      <c r="A264" s="19"/>
      <c r="B264" s="4"/>
      <c r="C264" s="4"/>
      <c r="D264" s="4" t="s">
        <v>88</v>
      </c>
      <c r="E264" s="4"/>
      <c r="F264" s="4"/>
      <c r="M264" s="1517" t="s">
        <v>2680</v>
      </c>
      <c r="N264" s="1517"/>
      <c r="O264" s="1517"/>
      <c r="P264" s="1517"/>
      <c r="Q264" s="1517"/>
      <c r="R264" s="1517"/>
      <c r="S264" s="4" t="s">
        <v>206</v>
      </c>
      <c r="T264" s="4"/>
      <c r="U264" s="1543"/>
      <c r="V264" s="1543"/>
      <c r="W264" s="1543"/>
      <c r="X264" s="4" t="s">
        <v>89</v>
      </c>
      <c r="Z264" s="1517"/>
      <c r="AA264" s="1517"/>
      <c r="AB264" s="1517"/>
      <c r="AC264" s="1517"/>
      <c r="AD264" s="1517"/>
      <c r="AE264" s="1517"/>
      <c r="AU264" s="4"/>
      <c r="AV264" s="4"/>
      <c r="AW264" s="4"/>
      <c r="AX264" s="4"/>
      <c r="AY264" s="4"/>
      <c r="BN264" s="34"/>
    </row>
    <row r="265" spans="1:66" ht="12.9" customHeight="1">
      <c r="A265" s="19"/>
      <c r="B265" s="4"/>
      <c r="C265" s="4"/>
      <c r="D265" s="4" t="s">
        <v>90</v>
      </c>
      <c r="E265" s="4"/>
      <c r="F265" s="4"/>
      <c r="M265" s="1867" t="s">
        <v>2681</v>
      </c>
      <c r="N265" s="1867"/>
      <c r="O265" s="1867"/>
      <c r="P265" s="1867"/>
      <c r="Q265" s="1867"/>
      <c r="R265" s="1867"/>
      <c r="S265" s="1867"/>
      <c r="T265" s="1867"/>
      <c r="U265" s="1867"/>
      <c r="V265" s="1867"/>
      <c r="W265" s="1867"/>
      <c r="X265" s="1867"/>
      <c r="Y265" s="1867"/>
      <c r="Z265" s="1867"/>
      <c r="AA265" s="1867"/>
      <c r="AB265" s="1867"/>
      <c r="AC265" s="1867"/>
      <c r="AD265" s="1867"/>
      <c r="AE265" s="1867"/>
      <c r="AG265" s="4"/>
      <c r="AH265" s="4"/>
      <c r="AI265" s="4"/>
      <c r="AJ265" s="4"/>
      <c r="AK265" s="4"/>
      <c r="AL265" s="4"/>
      <c r="AM265" s="4"/>
      <c r="AN265" s="4"/>
      <c r="AO265" s="4"/>
      <c r="AP265" s="4"/>
      <c r="AQ265" s="4"/>
      <c r="AR265" s="4"/>
      <c r="AS265" s="4"/>
      <c r="AT265" s="4"/>
      <c r="AU265" s="3"/>
      <c r="AV265" s="3"/>
      <c r="AW265" s="3"/>
      <c r="AX265" s="3"/>
      <c r="AY265" s="3"/>
      <c r="BN265" s="34"/>
    </row>
    <row r="266" spans="1:66" ht="12.9" customHeight="1">
      <c r="A266" s="13"/>
      <c r="B266" s="4"/>
      <c r="C266" s="56"/>
      <c r="D266" s="4" t="s">
        <v>533</v>
      </c>
      <c r="E266" s="4"/>
      <c r="F266" s="4"/>
      <c r="G266" s="4"/>
      <c r="H266" s="4"/>
      <c r="I266" s="4"/>
      <c r="J266" s="4"/>
      <c r="K266" s="4"/>
      <c r="L266" s="4"/>
      <c r="M266" s="1516" t="s">
        <v>534</v>
      </c>
      <c r="N266" s="1516"/>
      <c r="O266" s="1516"/>
      <c r="P266" s="1516"/>
      <c r="Q266" s="1516"/>
      <c r="R266" s="1516"/>
      <c r="S266" s="1516"/>
      <c r="T266" s="1516"/>
      <c r="U266" s="204" t="s">
        <v>904</v>
      </c>
      <c r="V266" s="204"/>
      <c r="W266" s="204"/>
      <c r="X266" s="204"/>
      <c r="Y266" s="204"/>
      <c r="Z266" s="204"/>
      <c r="AA266" s="1863" t="s">
        <v>2693</v>
      </c>
      <c r="AB266" s="1863"/>
      <c r="AC266" s="1863"/>
      <c r="AD266" s="1863"/>
      <c r="AE266" s="1863"/>
      <c r="AF266" s="1863"/>
      <c r="AG266" s="1863"/>
      <c r="AH266" s="1863"/>
      <c r="AI266" s="1863"/>
      <c r="AJ266" s="1863"/>
      <c r="AK266" s="1863"/>
      <c r="AL266" s="3"/>
      <c r="AM266" s="3"/>
      <c r="AN266" s="3"/>
      <c r="AO266" s="3"/>
      <c r="AP266" s="3"/>
      <c r="AQ266" s="3"/>
      <c r="AR266" s="3"/>
      <c r="AS266" s="3"/>
      <c r="AT266" s="3"/>
      <c r="AU266" s="3"/>
      <c r="AV266" s="3"/>
      <c r="AW266" s="3"/>
      <c r="AX266" s="3"/>
      <c r="AY266" s="3"/>
    </row>
    <row r="267" spans="1:66" ht="12.9"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 customHeight="1">
      <c r="A268" s="13"/>
      <c r="B268" s="4"/>
      <c r="C268" s="56" t="s">
        <v>874</v>
      </c>
      <c r="D268" s="4" t="s">
        <v>530</v>
      </c>
      <c r="E268" s="4"/>
      <c r="F268" s="4"/>
      <c r="G268" s="4"/>
      <c r="H268" s="4"/>
      <c r="I268" s="4"/>
      <c r="J268" s="4"/>
      <c r="K268" s="4"/>
      <c r="L268" s="4"/>
      <c r="M268" s="1573"/>
      <c r="N268" s="1573"/>
      <c r="O268" s="1573"/>
      <c r="P268" s="1573"/>
      <c r="Q268" s="1573"/>
      <c r="R268" s="1573"/>
      <c r="S268" s="1573"/>
      <c r="T268" s="1573"/>
      <c r="U268" s="1573"/>
      <c r="V268" s="1573"/>
      <c r="W268" s="1573"/>
      <c r="X268" s="1573"/>
      <c r="Y268" s="1573"/>
      <c r="Z268" s="1573"/>
      <c r="AA268" s="1573"/>
      <c r="AB268" s="1573"/>
      <c r="AC268" s="1573"/>
      <c r="AD268" s="1573"/>
      <c r="AE268" s="1573"/>
      <c r="AF268" s="1573" t="s">
        <v>307</v>
      </c>
      <c r="AG268" s="1573"/>
      <c r="AH268" s="1573"/>
      <c r="AI268" s="1573"/>
      <c r="AJ268" s="1573"/>
      <c r="AK268" s="1573"/>
      <c r="AL268" s="3"/>
      <c r="AM268" s="3"/>
      <c r="AN268" s="3"/>
      <c r="AO268" s="3"/>
      <c r="AP268" s="3"/>
      <c r="AQ268" s="3"/>
      <c r="AR268" s="3"/>
      <c r="AS268" s="3"/>
      <c r="AT268" s="3"/>
      <c r="AU268" s="3"/>
      <c r="AV268" s="3"/>
      <c r="AW268" s="3"/>
      <c r="AX268" s="3"/>
      <c r="AY268" s="3"/>
    </row>
    <row r="269" spans="1:66" ht="12.9" customHeight="1">
      <c r="A269" s="13"/>
      <c r="B269" s="4"/>
      <c r="C269" s="4"/>
      <c r="D269" s="4" t="s">
        <v>85</v>
      </c>
      <c r="E269" s="4"/>
      <c r="F269" s="4"/>
      <c r="G269" s="4"/>
      <c r="H269" s="4"/>
      <c r="I269" s="4"/>
      <c r="J269" s="4"/>
      <c r="K269" s="4"/>
      <c r="L269" s="4"/>
      <c r="M269" s="1570"/>
      <c r="N269" s="1570"/>
      <c r="O269" s="1570"/>
      <c r="P269" s="1570"/>
      <c r="Q269" s="1570"/>
      <c r="R269" s="1570"/>
      <c r="S269" s="1570"/>
      <c r="T269" s="1570"/>
      <c r="U269" s="1570"/>
      <c r="V269" s="1570"/>
      <c r="W269" s="1570"/>
      <c r="X269" s="1570"/>
      <c r="Y269" s="1570"/>
      <c r="Z269" s="1570"/>
      <c r="AA269" s="1570"/>
      <c r="AB269" s="1570"/>
      <c r="AC269" s="1570"/>
      <c r="AD269" s="1570"/>
      <c r="AE269" s="1570"/>
      <c r="AF269" s="3" t="s">
        <v>1176</v>
      </c>
      <c r="AL269" s="3"/>
      <c r="AM269" s="3"/>
      <c r="AN269" s="3"/>
      <c r="AO269" s="3"/>
      <c r="AP269" s="3"/>
      <c r="AQ269" s="3"/>
      <c r="AR269" s="3"/>
      <c r="AS269" s="3"/>
      <c r="AT269" s="3"/>
      <c r="AU269" s="3"/>
      <c r="AV269" s="3"/>
      <c r="AW269" s="3"/>
      <c r="AX269" s="3"/>
      <c r="AY269" s="3"/>
    </row>
    <row r="270" spans="1:66" ht="12.9" customHeight="1">
      <c r="A270" s="13"/>
      <c r="B270" s="4"/>
      <c r="C270" s="4"/>
      <c r="D270" s="4" t="s">
        <v>578</v>
      </c>
      <c r="E270" s="4"/>
      <c r="M270" s="1570"/>
      <c r="N270" s="1570"/>
      <c r="O270" s="1570"/>
      <c r="P270" s="1570"/>
      <c r="Q270" s="1570"/>
      <c r="R270" s="1570"/>
      <c r="S270" s="1570"/>
      <c r="T270" s="1570"/>
      <c r="V270" s="33" t="s">
        <v>86</v>
      </c>
      <c r="W270" s="1543"/>
      <c r="X270" s="1543"/>
      <c r="Y270" s="4" t="s">
        <v>581</v>
      </c>
      <c r="AC270" s="1570"/>
      <c r="AD270" s="1570"/>
      <c r="AE270" s="1570"/>
      <c r="AF270" s="3" t="s">
        <v>1177</v>
      </c>
      <c r="AL270" s="3"/>
      <c r="AM270" s="3"/>
      <c r="AN270" s="3"/>
      <c r="AO270" s="3"/>
      <c r="AP270" s="3"/>
      <c r="AQ270" s="3"/>
      <c r="AR270" s="3"/>
      <c r="AS270" s="3"/>
      <c r="AT270" s="3"/>
      <c r="AU270" s="3"/>
      <c r="AV270" s="3"/>
      <c r="AW270" s="3"/>
      <c r="AX270" s="3"/>
      <c r="AY270" s="3"/>
    </row>
    <row r="271" spans="1:66" ht="12.9" customHeight="1">
      <c r="A271" s="13"/>
      <c r="B271" s="4"/>
      <c r="C271" s="4"/>
      <c r="D271" s="4" t="s">
        <v>87</v>
      </c>
      <c r="E271" s="4"/>
      <c r="F271" s="4"/>
      <c r="G271" s="4"/>
      <c r="H271" s="4"/>
      <c r="I271" s="4"/>
      <c r="J271" s="4"/>
      <c r="K271" s="4"/>
      <c r="L271" s="19"/>
      <c r="M271" s="1570"/>
      <c r="N271" s="1570"/>
      <c r="O271" s="1570"/>
      <c r="P271" s="1570"/>
      <c r="Q271" s="1570"/>
      <c r="R271" s="1570"/>
      <c r="S271" s="1570"/>
      <c r="T271" s="1570"/>
      <c r="U271" s="1570"/>
      <c r="V271" s="1570"/>
      <c r="W271" s="1570"/>
      <c r="X271" s="1570"/>
      <c r="Y271" s="1570"/>
      <c r="Z271" s="1570"/>
      <c r="AA271" s="1570"/>
      <c r="AB271" s="1570"/>
      <c r="AC271" s="1570"/>
      <c r="AD271" s="1570"/>
      <c r="AE271" s="1570"/>
      <c r="AH271" s="1865"/>
      <c r="AI271" s="1865"/>
      <c r="AJ271" s="1865"/>
      <c r="AK271" s="1865"/>
      <c r="AL271" s="3"/>
      <c r="AM271" s="3"/>
      <c r="AN271" s="3"/>
      <c r="AO271" s="3"/>
      <c r="AP271" s="3"/>
      <c r="AQ271" s="3"/>
      <c r="AR271" s="3"/>
      <c r="AS271" s="3"/>
      <c r="AT271" s="3"/>
      <c r="AU271" s="3"/>
      <c r="AV271" s="3"/>
      <c r="AW271" s="3"/>
      <c r="AX271" s="3"/>
      <c r="AY271" s="3"/>
    </row>
    <row r="272" spans="1:66" ht="12.9" customHeight="1">
      <c r="A272" s="13"/>
      <c r="B272" s="4"/>
      <c r="C272" s="4"/>
      <c r="D272" s="4" t="s">
        <v>88</v>
      </c>
      <c r="E272" s="4"/>
      <c r="F272" s="4"/>
      <c r="M272" s="1517"/>
      <c r="N272" s="1517"/>
      <c r="O272" s="1517"/>
      <c r="P272" s="1517"/>
      <c r="Q272" s="1517"/>
      <c r="R272" s="1517"/>
      <c r="S272" s="4" t="s">
        <v>206</v>
      </c>
      <c r="T272" s="4"/>
      <c r="U272" s="1543"/>
      <c r="V272" s="1543"/>
      <c r="W272" s="1543"/>
      <c r="X272" s="4" t="s">
        <v>89</v>
      </c>
      <c r="Z272" s="1517"/>
      <c r="AA272" s="1517"/>
      <c r="AB272" s="1517"/>
      <c r="AC272" s="1517"/>
      <c r="AD272" s="1517"/>
      <c r="AE272" s="1517"/>
      <c r="AL272" s="3"/>
      <c r="AM272" s="3"/>
      <c r="AN272" s="3"/>
      <c r="AO272" s="3"/>
      <c r="AP272" s="3"/>
      <c r="AQ272" s="3"/>
      <c r="AR272" s="3"/>
      <c r="AS272" s="3"/>
      <c r="AT272" s="3"/>
      <c r="AU272" s="3"/>
      <c r="AV272" s="3"/>
      <c r="AW272" s="3"/>
      <c r="AX272" s="3"/>
      <c r="AY272" s="3"/>
    </row>
    <row r="273" spans="1:51" ht="12.9" customHeight="1">
      <c r="A273" s="13"/>
      <c r="B273" s="4"/>
      <c r="C273" s="4"/>
      <c r="D273" s="4" t="s">
        <v>90</v>
      </c>
      <c r="E273" s="4"/>
      <c r="F273" s="4"/>
      <c r="M273" s="1867"/>
      <c r="N273" s="1867"/>
      <c r="O273" s="1867"/>
      <c r="P273" s="1867"/>
      <c r="Q273" s="1867"/>
      <c r="R273" s="1867"/>
      <c r="S273" s="1867"/>
      <c r="T273" s="1867"/>
      <c r="U273" s="1867"/>
      <c r="V273" s="1867"/>
      <c r="W273" s="1867"/>
      <c r="X273" s="1867"/>
      <c r="Y273" s="1867"/>
      <c r="Z273" s="1867"/>
      <c r="AA273" s="1873"/>
      <c r="AB273" s="1873"/>
      <c r="AC273" s="1873"/>
      <c r="AD273" s="1873"/>
      <c r="AE273" s="1873"/>
      <c r="AG273" s="4"/>
      <c r="AH273" s="4"/>
      <c r="AI273" s="4"/>
      <c r="AJ273" s="4"/>
      <c r="AK273" s="4"/>
      <c r="AL273" s="3"/>
      <c r="AM273" s="3"/>
      <c r="AN273" s="3"/>
      <c r="AO273" s="3"/>
      <c r="AP273" s="3"/>
      <c r="AQ273" s="3"/>
      <c r="AR273" s="3"/>
      <c r="AS273" s="3"/>
      <c r="AT273" s="3"/>
      <c r="AU273" s="3"/>
      <c r="AV273" s="3"/>
      <c r="AW273" s="3"/>
      <c r="AX273" s="3"/>
      <c r="AY273" s="3"/>
    </row>
    <row r="274" spans="1:51" ht="12.9" customHeight="1">
      <c r="A274" s="13"/>
      <c r="B274" s="4"/>
      <c r="C274" s="56"/>
      <c r="D274" s="4" t="s">
        <v>533</v>
      </c>
      <c r="E274" s="4"/>
      <c r="F274" s="4"/>
      <c r="G274" s="4"/>
      <c r="H274" s="4"/>
      <c r="I274" s="4"/>
      <c r="J274" s="4"/>
      <c r="K274" s="4"/>
      <c r="L274" s="4"/>
      <c r="M274" s="1516" t="s">
        <v>307</v>
      </c>
      <c r="N274" s="1516"/>
      <c r="O274" s="1516"/>
      <c r="P274" s="1516"/>
      <c r="Q274" s="1516"/>
      <c r="R274" s="1516"/>
      <c r="S274" s="1516"/>
      <c r="T274" s="1516"/>
      <c r="U274" s="204" t="s">
        <v>904</v>
      </c>
      <c r="V274" s="204"/>
      <c r="W274" s="204"/>
      <c r="X274" s="204"/>
      <c r="Y274" s="204"/>
      <c r="Z274" s="204"/>
      <c r="AA274" s="1864"/>
      <c r="AB274" s="1864"/>
      <c r="AC274" s="1864"/>
      <c r="AD274" s="1864"/>
      <c r="AE274" s="1864"/>
      <c r="AF274" s="1864"/>
      <c r="AG274" s="1864"/>
      <c r="AH274" s="1864"/>
      <c r="AI274" s="1864"/>
      <c r="AJ274" s="1864"/>
      <c r="AK274" s="1864"/>
      <c r="AL274" s="3"/>
      <c r="AM274" s="3"/>
      <c r="AN274" s="3"/>
      <c r="AO274" s="3"/>
      <c r="AP274" s="3"/>
      <c r="AQ274" s="3"/>
      <c r="AR274" s="3"/>
      <c r="AS274" s="3"/>
      <c r="AT274" s="3"/>
    </row>
    <row r="275" spans="1:51" ht="12.9"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 customHeight="1">
      <c r="A276" s="57" t="s">
        <v>588</v>
      </c>
      <c r="B276" s="4"/>
      <c r="C276" s="2" t="s">
        <v>295</v>
      </c>
      <c r="D276" s="4"/>
      <c r="E276" s="4"/>
      <c r="F276" s="4"/>
      <c r="G276" s="4"/>
      <c r="H276" s="4"/>
      <c r="I276" s="4"/>
      <c r="J276" s="4"/>
      <c r="K276" s="4"/>
      <c r="L276" s="4"/>
      <c r="M276" s="35"/>
      <c r="N276" s="35"/>
      <c r="O276" s="35"/>
      <c r="P276" s="35"/>
      <c r="Q276" s="35"/>
      <c r="T276" s="1866" t="str">
        <f>IFERROR(BO254,"")</f>
        <v>Joint Venture</v>
      </c>
      <c r="U276" s="1866"/>
      <c r="V276" s="1866"/>
      <c r="W276" s="1866"/>
      <c r="X276" s="1866"/>
      <c r="Z276" s="307" t="s">
        <v>952</v>
      </c>
      <c r="AA276" s="308"/>
      <c r="AB276" s="308"/>
      <c r="AC276" s="308"/>
      <c r="AD276" s="105"/>
      <c r="AE276" s="105"/>
      <c r="AF276" s="105"/>
      <c r="AG276" s="105"/>
      <c r="AH276" s="105"/>
      <c r="AI276" s="105"/>
      <c r="AJ276" s="105"/>
      <c r="AK276" s="309"/>
      <c r="AL276" s="58"/>
    </row>
    <row r="277" spans="1:51" ht="12.9" customHeight="1">
      <c r="A277" s="2"/>
      <c r="B277" s="4"/>
      <c r="C277" s="2"/>
      <c r="I277" s="4"/>
      <c r="J277" s="4"/>
      <c r="K277" s="4"/>
      <c r="L277" s="4"/>
      <c r="M277" s="35"/>
      <c r="N277" s="35"/>
      <c r="O277" s="35"/>
      <c r="P277" s="35"/>
      <c r="Q277" s="35"/>
      <c r="T277" s="4"/>
      <c r="U277" s="4"/>
      <c r="V277" s="4"/>
      <c r="W277" s="35"/>
      <c r="Z277" s="310" t="s">
        <v>805</v>
      </c>
      <c r="AF277" s="4"/>
      <c r="AG277" s="4"/>
      <c r="AH277" s="4"/>
      <c r="AI277" s="4"/>
      <c r="AJ277" s="4"/>
      <c r="AL277" s="65"/>
    </row>
    <row r="278" spans="1:51" ht="12.9" customHeight="1">
      <c r="A278" s="2" t="s">
        <v>590</v>
      </c>
      <c r="B278" s="4"/>
      <c r="C278" s="2" t="s">
        <v>172</v>
      </c>
      <c r="D278" s="4"/>
      <c r="E278" s="4"/>
      <c r="F278" s="4"/>
      <c r="G278" s="4"/>
      <c r="H278" s="4"/>
      <c r="I278" s="4"/>
      <c r="J278" s="4"/>
      <c r="K278" s="4"/>
      <c r="L278" s="4"/>
      <c r="M278" s="4"/>
      <c r="N278" s="4"/>
      <c r="O278" s="4"/>
      <c r="P278" s="4"/>
      <c r="Q278" s="4"/>
      <c r="R278" s="4"/>
      <c r="S278" s="4"/>
      <c r="T278" s="4"/>
      <c r="U278" s="4"/>
      <c r="V278" s="4"/>
      <c r="W278" s="4"/>
      <c r="Z278" s="311" t="s">
        <v>951</v>
      </c>
      <c r="AA278" s="48"/>
      <c r="AB278" s="48"/>
      <c r="AC278" s="48"/>
      <c r="AD278" s="48"/>
      <c r="AE278" s="48"/>
      <c r="AF278" s="104"/>
      <c r="AG278" s="104"/>
      <c r="AH278" s="104"/>
      <c r="AI278" s="104"/>
      <c r="AJ278" s="104"/>
      <c r="AK278" s="48"/>
      <c r="AL278" s="49"/>
    </row>
    <row r="279" spans="1:51" ht="12.9" customHeight="1">
      <c r="A279" s="4"/>
      <c r="B279" s="36">
        <v>0</v>
      </c>
      <c r="D279" s="1570" t="s">
        <v>280</v>
      </c>
      <c r="E279" s="1570"/>
      <c r="F279" s="1570"/>
      <c r="G279" s="1570"/>
      <c r="H279" s="1570"/>
      <c r="J279" t="s">
        <v>279</v>
      </c>
      <c r="X279" s="1791"/>
      <c r="Y279" s="1791"/>
      <c r="Z279" s="1791"/>
      <c r="AA279" s="1791"/>
      <c r="AB279" s="1791"/>
      <c r="AC279" s="1791"/>
      <c r="AU279" s="3"/>
      <c r="AV279" s="3"/>
      <c r="AW279" s="3"/>
      <c r="AX279" s="3"/>
      <c r="AY279" s="3"/>
    </row>
    <row r="280" spans="1:51" ht="12.9"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 customHeight="1">
      <c r="A282" s="2" t="s">
        <v>465</v>
      </c>
      <c r="B282" s="2"/>
      <c r="C282" s="2" t="s">
        <v>620</v>
      </c>
      <c r="D282" s="4"/>
      <c r="E282" s="4"/>
      <c r="F282" s="4"/>
      <c r="G282" s="4"/>
      <c r="H282" s="4"/>
      <c r="I282" s="4"/>
      <c r="J282" s="4"/>
      <c r="K282" s="4"/>
      <c r="L282" s="4"/>
      <c r="M282" s="4"/>
      <c r="N282" s="4"/>
      <c r="O282" s="4"/>
      <c r="P282" s="4"/>
      <c r="Q282" s="4"/>
      <c r="R282" s="4"/>
      <c r="S282" s="4"/>
      <c r="T282" s="4"/>
      <c r="AU282" s="3"/>
      <c r="AV282" s="3"/>
      <c r="AW282" s="3"/>
      <c r="AX282" s="3"/>
      <c r="AY282" s="3"/>
    </row>
    <row r="283" spans="1:51" ht="12.9" customHeight="1">
      <c r="D283" s="4" t="s">
        <v>296</v>
      </c>
      <c r="E283" s="4"/>
      <c r="F283" s="4"/>
      <c r="G283" s="4"/>
      <c r="H283" s="4"/>
      <c r="I283" s="4"/>
      <c r="J283" s="4"/>
      <c r="K283" s="4"/>
      <c r="L283" s="1573" t="s">
        <v>2693</v>
      </c>
      <c r="M283" s="1573"/>
      <c r="N283" s="1573"/>
      <c r="O283" s="1573"/>
      <c r="P283" s="1573"/>
      <c r="Q283" s="1573"/>
      <c r="R283" s="1573"/>
      <c r="S283" s="1573"/>
      <c r="T283" s="1573"/>
      <c r="U283" s="1573"/>
      <c r="V283" s="1573"/>
      <c r="W283" s="1573"/>
      <c r="X283" s="1573"/>
      <c r="Y283" s="1573"/>
      <c r="Z283" s="1573"/>
      <c r="AA283" s="1573"/>
      <c r="AB283" s="1573"/>
      <c r="AC283" s="1573"/>
      <c r="AD283" s="1573"/>
      <c r="AE283" s="1573"/>
      <c r="AF283" s="1573"/>
      <c r="AG283" s="1573"/>
      <c r="AH283" s="1573"/>
      <c r="AI283" s="1573"/>
      <c r="AJ283" s="1573"/>
      <c r="AK283" s="3"/>
      <c r="AL283" s="3"/>
      <c r="AM283" s="3"/>
      <c r="AN283" s="3"/>
      <c r="AO283" s="3"/>
      <c r="AP283" s="3"/>
      <c r="AQ283" s="3"/>
      <c r="AR283" s="3"/>
      <c r="AS283" s="3"/>
      <c r="AT283" s="3"/>
      <c r="AU283" s="3"/>
      <c r="AV283" s="3"/>
      <c r="AW283" s="3"/>
      <c r="AX283" s="3"/>
      <c r="AY283" s="3"/>
    </row>
    <row r="284" spans="1:51" ht="12.9" customHeight="1">
      <c r="D284" s="4" t="s">
        <v>85</v>
      </c>
      <c r="E284" s="4"/>
      <c r="F284" s="4"/>
      <c r="G284" s="4"/>
      <c r="H284" s="4"/>
      <c r="I284" s="4"/>
      <c r="J284" s="4"/>
      <c r="K284" s="4"/>
      <c r="L284" s="1570" t="s">
        <v>2676</v>
      </c>
      <c r="M284" s="1570"/>
      <c r="N284" s="1570"/>
      <c r="O284" s="1570"/>
      <c r="P284" s="1570"/>
      <c r="Q284" s="1570"/>
      <c r="R284" s="1570"/>
      <c r="S284" s="1570"/>
      <c r="T284" s="1570"/>
      <c r="U284" s="1570"/>
      <c r="V284" s="1570"/>
      <c r="W284" s="1570"/>
      <c r="X284" s="1570"/>
      <c r="Y284" s="1570"/>
      <c r="Z284" s="1570"/>
      <c r="AA284" s="1570"/>
      <c r="AB284" s="1570"/>
      <c r="AC284" s="1570"/>
      <c r="AD284" s="1570"/>
      <c r="AK284" s="3"/>
      <c r="AL284" s="3"/>
      <c r="AM284" s="3"/>
      <c r="AN284" s="3"/>
      <c r="AO284" s="3"/>
      <c r="AP284" s="3"/>
      <c r="AQ284" s="3"/>
      <c r="AR284" s="3"/>
      <c r="AS284" s="3"/>
      <c r="AT284" s="3"/>
      <c r="AU284" s="3"/>
      <c r="AV284" s="3"/>
      <c r="AW284" s="3"/>
      <c r="AX284" s="3"/>
      <c r="AY284" s="3"/>
    </row>
    <row r="285" spans="1:51" ht="12.9" customHeight="1">
      <c r="D285" s="4" t="s">
        <v>578</v>
      </c>
      <c r="E285" s="4"/>
      <c r="L285" s="1570" t="s">
        <v>2677</v>
      </c>
      <c r="M285" s="1570"/>
      <c r="N285" s="1570"/>
      <c r="O285" s="1570"/>
      <c r="P285" s="1570"/>
      <c r="Q285" s="1570"/>
      <c r="R285" s="1570"/>
      <c r="S285" s="1570"/>
      <c r="U285" s="33" t="s">
        <v>86</v>
      </c>
      <c r="V285" s="1543" t="s">
        <v>2678</v>
      </c>
      <c r="W285" s="1543"/>
      <c r="X285" s="4" t="s">
        <v>581</v>
      </c>
      <c r="AB285" s="1570">
        <v>10168</v>
      </c>
      <c r="AC285" s="1570"/>
      <c r="AD285" s="1570"/>
      <c r="AK285" s="3"/>
      <c r="AL285" s="3"/>
      <c r="AM285" s="3"/>
      <c r="AN285" s="3"/>
      <c r="AO285" s="3"/>
      <c r="AP285" s="3"/>
      <c r="AQ285" s="3"/>
      <c r="AR285" s="3"/>
      <c r="AS285" s="3"/>
      <c r="AT285" s="3"/>
      <c r="AU285" s="3"/>
      <c r="AV285" s="3"/>
      <c r="AW285" s="3"/>
      <c r="AX285" s="3"/>
      <c r="AY285" s="3"/>
    </row>
    <row r="286" spans="1:51" ht="12.9" customHeight="1">
      <c r="D286" s="4" t="s">
        <v>87</v>
      </c>
      <c r="E286" s="4"/>
      <c r="F286" s="4"/>
      <c r="G286" s="4"/>
      <c r="H286" s="4"/>
      <c r="I286" s="4"/>
      <c r="J286" s="4"/>
      <c r="K286" s="19"/>
      <c r="L286" s="1557" t="s">
        <v>2694</v>
      </c>
      <c r="M286" s="1557"/>
      <c r="N286" s="1557"/>
      <c r="O286" s="1557"/>
      <c r="P286" s="1557"/>
      <c r="Q286" s="1557"/>
      <c r="R286" s="1557"/>
      <c r="S286" s="1557"/>
      <c r="T286" s="1557"/>
      <c r="U286" s="1557"/>
      <c r="V286" s="1557"/>
      <c r="W286" s="1557"/>
      <c r="X286" s="1557"/>
      <c r="Y286" s="1557"/>
      <c r="Z286" s="1557"/>
      <c r="AA286" s="1557"/>
      <c r="AB286" s="1557"/>
      <c r="AC286" s="1557"/>
      <c r="AD286" s="1557"/>
      <c r="AI286" s="4"/>
      <c r="AJ286" s="4"/>
      <c r="AK286" s="3"/>
      <c r="AL286" s="3"/>
      <c r="AM286" s="3"/>
      <c r="AN286" s="3"/>
      <c r="AO286" s="3"/>
      <c r="AP286" s="3"/>
      <c r="AQ286" s="3"/>
      <c r="AR286" s="3"/>
      <c r="AS286" s="3"/>
      <c r="AT286" s="3"/>
    </row>
    <row r="287" spans="1:51" ht="12.9" customHeight="1">
      <c r="D287" s="4" t="s">
        <v>88</v>
      </c>
      <c r="E287" s="4"/>
      <c r="F287" s="4"/>
      <c r="L287" s="1553" t="s">
        <v>2695</v>
      </c>
      <c r="M287" s="1553"/>
      <c r="N287" s="1553"/>
      <c r="O287" s="1553"/>
      <c r="P287" s="1553"/>
      <c r="Q287" s="1553"/>
      <c r="R287" s="4" t="s">
        <v>206</v>
      </c>
      <c r="S287" s="4"/>
      <c r="T287" s="1543"/>
      <c r="U287" s="1543"/>
      <c r="V287" s="1543"/>
      <c r="W287" s="4" t="s">
        <v>89</v>
      </c>
      <c r="Y287" s="1517"/>
      <c r="Z287" s="1517"/>
      <c r="AA287" s="1517"/>
      <c r="AB287" s="1517"/>
      <c r="AC287" s="1517"/>
      <c r="AD287" s="1517"/>
    </row>
    <row r="288" spans="1:51" ht="12.9" customHeight="1">
      <c r="D288" s="4" t="s">
        <v>90</v>
      </c>
      <c r="E288" s="4"/>
      <c r="F288" s="4"/>
      <c r="L288" s="1867" t="s">
        <v>2696</v>
      </c>
      <c r="M288" s="1867"/>
      <c r="N288" s="1867"/>
      <c r="O288" s="1867"/>
      <c r="P288" s="1867"/>
      <c r="Q288" s="1867"/>
      <c r="R288" s="1867"/>
      <c r="S288" s="1867"/>
      <c r="T288" s="1867"/>
      <c r="U288" s="1867"/>
      <c r="V288" s="1867"/>
      <c r="W288" s="1867"/>
      <c r="X288" s="1867"/>
      <c r="Y288" s="1867"/>
      <c r="Z288" s="1867"/>
      <c r="AA288" s="1867"/>
      <c r="AB288" s="1867"/>
      <c r="AC288" s="1867"/>
      <c r="AD288" s="1867"/>
      <c r="AF288" s="4"/>
      <c r="AG288" s="4"/>
      <c r="AH288" s="4"/>
      <c r="AI288" s="4"/>
      <c r="AJ288" s="4"/>
      <c r="AU288" s="3"/>
      <c r="AV288" s="3"/>
      <c r="AW288" s="3"/>
      <c r="AX288" s="3"/>
      <c r="AY288" s="3"/>
    </row>
    <row r="289" spans="1:51" ht="12.9" customHeight="1">
      <c r="D289" s="3" t="s">
        <v>621</v>
      </c>
      <c r="E289" s="3"/>
      <c r="F289" s="3"/>
      <c r="G289" s="3"/>
      <c r="H289" s="3"/>
      <c r="I289" s="3"/>
      <c r="L289" s="1467" t="s">
        <v>2697</v>
      </c>
      <c r="M289" s="1467"/>
      <c r="N289" s="1467"/>
      <c r="O289" s="1467"/>
      <c r="P289" s="1467"/>
      <c r="Q289" s="1467"/>
      <c r="R289" s="1467"/>
      <c r="S289" s="1467"/>
      <c r="T289" s="1467"/>
      <c r="U289" s="1467"/>
      <c r="V289" s="1467"/>
      <c r="W289" s="1467"/>
      <c r="X289" s="1467"/>
      <c r="Y289" s="1467"/>
      <c r="Z289" s="1467"/>
      <c r="AA289" s="1467"/>
      <c r="AB289" s="1467"/>
      <c r="AC289" s="1467"/>
      <c r="AD289" s="1467"/>
      <c r="AK289" s="3"/>
      <c r="AL289" s="3"/>
      <c r="AM289" s="3"/>
      <c r="AN289" s="3"/>
      <c r="AO289" s="3"/>
      <c r="AP289" s="3"/>
      <c r="AQ289" s="3"/>
      <c r="AR289" s="3"/>
      <c r="AS289" s="3"/>
      <c r="AT289" s="3"/>
    </row>
    <row r="290" spans="1:51" ht="12.9" customHeight="1">
      <c r="L290" s="22" t="s">
        <v>622</v>
      </c>
      <c r="AU290" s="95"/>
      <c r="AV290" s="95"/>
      <c r="AW290" s="95"/>
      <c r="AX290" s="95"/>
      <c r="AY290" s="95"/>
    </row>
    <row r="291" spans="1:51" ht="12.9" customHeight="1">
      <c r="A291" s="1575" t="s">
        <v>539</v>
      </c>
      <c r="B291" s="1575"/>
      <c r="C291" s="1575"/>
      <c r="D291" s="1575"/>
      <c r="E291" s="1575"/>
      <c r="F291" s="1575"/>
      <c r="G291" s="1575"/>
      <c r="H291" s="1575"/>
      <c r="I291" s="1575"/>
      <c r="J291" s="1575"/>
      <c r="K291" s="1575"/>
      <c r="L291" s="1575"/>
      <c r="M291" s="1575"/>
      <c r="N291" s="1575"/>
      <c r="O291" s="1575"/>
      <c r="P291" s="1575"/>
      <c r="Q291" s="1575"/>
      <c r="R291" s="1575"/>
      <c r="S291" s="1575"/>
      <c r="T291" s="1575"/>
      <c r="U291" s="1575"/>
      <c r="V291" s="1575"/>
      <c r="W291" s="1575"/>
      <c r="X291" s="1575"/>
      <c r="Y291" s="1575"/>
      <c r="Z291" s="1575"/>
      <c r="AA291" s="1575"/>
      <c r="AB291" s="1575"/>
      <c r="AC291" s="1575"/>
      <c r="AD291" s="1575"/>
      <c r="AE291" s="1575"/>
      <c r="AF291" s="1575"/>
      <c r="AG291" s="1575"/>
      <c r="AH291" s="1575"/>
      <c r="AI291" s="1575"/>
      <c r="AJ291" s="1575"/>
      <c r="AK291" s="1575"/>
      <c r="AL291" s="1575"/>
      <c r="AM291" s="1575"/>
      <c r="AN291" s="1575"/>
      <c r="AO291" s="1575"/>
      <c r="AP291" s="1575"/>
      <c r="AQ291" s="1575"/>
      <c r="AR291" s="1575"/>
      <c r="AS291" s="1575"/>
      <c r="AT291" s="1575"/>
      <c r="AU291" s="95"/>
      <c r="AV291" s="95"/>
      <c r="AW291" s="95"/>
      <c r="AX291" s="95"/>
      <c r="AY291" s="95"/>
    </row>
    <row r="292" spans="1:51" ht="12.9" customHeight="1">
      <c r="A292" s="1575"/>
      <c r="B292" s="1575"/>
      <c r="C292" s="1575"/>
      <c r="D292" s="1575"/>
      <c r="E292" s="1575"/>
      <c r="F292" s="1575"/>
      <c r="G292" s="1575"/>
      <c r="H292" s="1575"/>
      <c r="I292" s="1575"/>
      <c r="J292" s="1575"/>
      <c r="K292" s="1575"/>
      <c r="L292" s="1575"/>
      <c r="M292" s="1575"/>
      <c r="N292" s="1575"/>
      <c r="O292" s="1575"/>
      <c r="P292" s="1575"/>
      <c r="Q292" s="1575"/>
      <c r="R292" s="1575"/>
      <c r="S292" s="1575"/>
      <c r="T292" s="1575"/>
      <c r="U292" s="1575"/>
      <c r="V292" s="1575"/>
      <c r="W292" s="1575"/>
      <c r="X292" s="1575"/>
      <c r="Y292" s="1575"/>
      <c r="Z292" s="1575"/>
      <c r="AA292" s="1575"/>
      <c r="AB292" s="1575"/>
      <c r="AC292" s="1575"/>
      <c r="AD292" s="1575"/>
      <c r="AE292" s="1575"/>
      <c r="AF292" s="1575"/>
      <c r="AG292" s="1575"/>
      <c r="AH292" s="1575"/>
      <c r="AI292" s="1575"/>
      <c r="AJ292" s="1575"/>
      <c r="AK292" s="1575"/>
      <c r="AL292" s="1575"/>
      <c r="AM292" s="1575"/>
      <c r="AN292" s="1575"/>
      <c r="AO292" s="1575"/>
      <c r="AP292" s="1575"/>
      <c r="AQ292" s="1575"/>
      <c r="AR292" s="1575"/>
      <c r="AS292" s="1575"/>
      <c r="AT292" s="1575"/>
      <c r="AU292" s="25"/>
      <c r="AV292" s="25"/>
      <c r="AW292" s="25"/>
      <c r="AX292" s="25"/>
      <c r="AY292" s="25"/>
    </row>
    <row r="293" spans="1:51" ht="12.9"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 customHeight="1">
      <c r="A294" s="2" t="s">
        <v>319</v>
      </c>
      <c r="C294" s="2" t="s">
        <v>623</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 customHeight="1">
      <c r="B296" s="3" t="s">
        <v>624</v>
      </c>
      <c r="C296" s="3"/>
      <c r="D296" s="3"/>
      <c r="E296" s="3"/>
      <c r="F296" s="3"/>
      <c r="H296" s="1539" t="s">
        <v>2693</v>
      </c>
      <c r="I296" s="1539"/>
      <c r="J296" s="1539"/>
      <c r="K296" s="1539"/>
      <c r="L296" s="1539"/>
      <c r="M296" s="1539"/>
      <c r="N296" s="1539"/>
      <c r="O296" s="1539"/>
      <c r="P296" s="1539"/>
      <c r="Q296" s="1539"/>
      <c r="R296" s="1539"/>
      <c r="T296" s="3" t="s">
        <v>565</v>
      </c>
      <c r="V296" s="3"/>
      <c r="W296" s="3"/>
      <c r="X296" s="3"/>
      <c r="Y296" s="3"/>
      <c r="AA296" s="1539" t="s">
        <v>2699</v>
      </c>
      <c r="AB296" s="1539"/>
      <c r="AC296" s="1539"/>
      <c r="AD296" s="1539"/>
      <c r="AE296" s="1539"/>
      <c r="AF296" s="1539"/>
      <c r="AG296" s="1539"/>
      <c r="AH296" s="1539"/>
      <c r="AI296" s="1539"/>
      <c r="AJ296" s="1539"/>
      <c r="AK296" s="1539"/>
    </row>
    <row r="297" spans="1:51" ht="12.9" customHeight="1">
      <c r="B297" s="3" t="s">
        <v>469</v>
      </c>
      <c r="C297" s="3"/>
      <c r="D297" s="3"/>
      <c r="E297" s="3"/>
      <c r="F297" s="3"/>
      <c r="H297" s="1516" t="s">
        <v>2676</v>
      </c>
      <c r="I297" s="1516"/>
      <c r="J297" s="1516"/>
      <c r="K297" s="1516"/>
      <c r="L297" s="1516"/>
      <c r="M297" s="1516"/>
      <c r="N297" s="1516"/>
      <c r="O297" s="1516"/>
      <c r="P297" s="1516"/>
      <c r="Q297" s="1516"/>
      <c r="R297" s="1516"/>
      <c r="T297" s="3" t="s">
        <v>469</v>
      </c>
      <c r="V297" s="3"/>
      <c r="W297" s="3"/>
      <c r="X297" s="3"/>
      <c r="Y297" s="3"/>
      <c r="AA297" s="1516" t="s">
        <v>2700</v>
      </c>
      <c r="AB297" s="1516"/>
      <c r="AC297" s="1516"/>
      <c r="AD297" s="1516"/>
      <c r="AE297" s="1516"/>
      <c r="AF297" s="1516"/>
      <c r="AG297" s="1516"/>
      <c r="AH297" s="1516"/>
      <c r="AI297" s="1516"/>
      <c r="AJ297" s="1516"/>
      <c r="AK297" s="1516"/>
    </row>
    <row r="298" spans="1:51" ht="12.9" customHeight="1">
      <c r="B298" s="3" t="s">
        <v>470</v>
      </c>
      <c r="C298" s="3"/>
      <c r="D298" s="3"/>
      <c r="E298" s="3"/>
      <c r="F298" s="3"/>
      <c r="H298" s="1516" t="s">
        <v>2698</v>
      </c>
      <c r="I298" s="1516"/>
      <c r="J298" s="1516"/>
      <c r="K298" s="1516"/>
      <c r="L298" s="1516"/>
      <c r="M298" s="1516"/>
      <c r="N298" s="1516"/>
      <c r="O298" s="1516"/>
      <c r="P298" s="1516"/>
      <c r="Q298" s="1516"/>
      <c r="R298" s="1516"/>
      <c r="T298" s="3" t="s">
        <v>75</v>
      </c>
      <c r="V298" s="3"/>
      <c r="W298" s="3"/>
      <c r="X298" s="3"/>
      <c r="Y298" s="3"/>
      <c r="AA298" s="1516" t="s">
        <v>2701</v>
      </c>
      <c r="AB298" s="1516"/>
      <c r="AC298" s="1516"/>
      <c r="AD298" s="1516"/>
      <c r="AE298" s="1516"/>
      <c r="AF298" s="1516"/>
      <c r="AG298" s="1516"/>
      <c r="AH298" s="1516"/>
      <c r="AI298" s="1516"/>
      <c r="AJ298" s="1516"/>
      <c r="AK298" s="1516"/>
    </row>
    <row r="299" spans="1:51" ht="12.9" customHeight="1">
      <c r="B299" s="3" t="s">
        <v>87</v>
      </c>
      <c r="C299" s="3"/>
      <c r="D299" s="3"/>
      <c r="E299" s="3"/>
      <c r="F299" s="3"/>
      <c r="H299" s="1516" t="s">
        <v>2679</v>
      </c>
      <c r="I299" s="1516"/>
      <c r="J299" s="1516"/>
      <c r="K299" s="1516"/>
      <c r="L299" s="1516"/>
      <c r="M299" s="1516"/>
      <c r="N299" s="1516"/>
      <c r="O299" s="1516"/>
      <c r="P299" s="1516"/>
      <c r="Q299" s="1516"/>
      <c r="R299" s="1516"/>
      <c r="T299" s="3" t="s">
        <v>87</v>
      </c>
      <c r="V299" s="3"/>
      <c r="W299" s="3"/>
      <c r="X299" s="3"/>
      <c r="Y299" s="3"/>
      <c r="AA299" s="1516" t="s">
        <v>2702</v>
      </c>
      <c r="AB299" s="1516"/>
      <c r="AC299" s="1516"/>
      <c r="AD299" s="1516"/>
      <c r="AE299" s="1516"/>
      <c r="AF299" s="1516"/>
      <c r="AG299" s="1516"/>
      <c r="AH299" s="1516"/>
      <c r="AI299" s="1516"/>
      <c r="AJ299" s="1516"/>
      <c r="AK299" s="1516"/>
    </row>
    <row r="300" spans="1:51" ht="12.9" customHeight="1">
      <c r="B300" s="3" t="s">
        <v>88</v>
      </c>
      <c r="C300" s="3"/>
      <c r="D300" s="3"/>
      <c r="E300" s="3"/>
      <c r="F300" s="3"/>
      <c r="G300" s="3"/>
      <c r="H300" s="1868" t="s">
        <v>2680</v>
      </c>
      <c r="I300" s="1868"/>
      <c r="J300" s="1868"/>
      <c r="K300" s="1868"/>
      <c r="L300" s="1868"/>
      <c r="M300" s="1868"/>
      <c r="N300" s="4" t="s">
        <v>206</v>
      </c>
      <c r="O300" s="4"/>
      <c r="P300" s="1570"/>
      <c r="Q300" s="1570"/>
      <c r="R300" s="1570"/>
      <c r="S300" s="3"/>
      <c r="T300" s="3" t="s">
        <v>88</v>
      </c>
      <c r="V300" s="3"/>
      <c r="W300" s="3"/>
      <c r="X300" s="3"/>
      <c r="Y300" s="3"/>
      <c r="AA300" s="1576" t="s">
        <v>2703</v>
      </c>
      <c r="AB300" s="1576"/>
      <c r="AC300" s="1576"/>
      <c r="AD300" s="1576"/>
      <c r="AE300" s="1576"/>
      <c r="AF300" s="1576"/>
      <c r="AG300" s="4" t="s">
        <v>206</v>
      </c>
      <c r="AH300" s="4"/>
      <c r="AI300" s="1570"/>
      <c r="AJ300" s="1570"/>
      <c r="AK300" s="1570"/>
    </row>
    <row r="301" spans="1:51" ht="12.9" customHeight="1">
      <c r="B301" s="3" t="s">
        <v>89</v>
      </c>
      <c r="C301" s="3"/>
      <c r="D301" s="3"/>
      <c r="E301" s="3"/>
      <c r="F301" s="3"/>
      <c r="G301" s="3"/>
      <c r="H301" s="1517"/>
      <c r="I301" s="1517"/>
      <c r="J301" s="1517"/>
      <c r="K301" s="1517"/>
      <c r="L301" s="1517"/>
      <c r="M301" s="1517"/>
      <c r="N301" s="4"/>
      <c r="O301" s="4"/>
      <c r="P301" s="35"/>
      <c r="Q301" s="35"/>
      <c r="R301" s="35"/>
      <c r="S301" s="3"/>
      <c r="T301" s="3" t="s">
        <v>89</v>
      </c>
      <c r="V301" s="3"/>
      <c r="W301" s="3"/>
      <c r="X301" s="3"/>
      <c r="Y301" s="3"/>
      <c r="AA301" s="1517"/>
      <c r="AB301" s="1517"/>
      <c r="AC301" s="1517"/>
      <c r="AD301" s="1517"/>
      <c r="AE301" s="1517"/>
      <c r="AF301" s="1517"/>
      <c r="AG301" s="4"/>
      <c r="AH301" s="4"/>
      <c r="AI301" s="35"/>
      <c r="AJ301" s="35"/>
      <c r="AK301" s="35"/>
    </row>
    <row r="302" spans="1:51" ht="12.9" customHeight="1">
      <c r="B302" s="3" t="s">
        <v>76</v>
      </c>
      <c r="C302" s="3"/>
      <c r="D302" s="3"/>
      <c r="E302" s="3"/>
      <c r="F302" s="3"/>
      <c r="G302" s="3"/>
      <c r="H302" s="1516" t="s">
        <v>2681</v>
      </c>
      <c r="I302" s="1516"/>
      <c r="J302" s="1516"/>
      <c r="K302" s="1516"/>
      <c r="L302" s="1516"/>
      <c r="M302" s="1516"/>
      <c r="N302" s="1539"/>
      <c r="O302" s="1539"/>
      <c r="P302" s="1539"/>
      <c r="Q302" s="1539"/>
      <c r="R302" s="1539"/>
      <c r="S302" s="3"/>
      <c r="T302" s="3" t="s">
        <v>76</v>
      </c>
      <c r="V302" s="3"/>
      <c r="W302" s="3"/>
      <c r="X302" s="3"/>
      <c r="Y302" s="3"/>
      <c r="AA302" s="1516" t="s">
        <v>2704</v>
      </c>
      <c r="AB302" s="1516"/>
      <c r="AC302" s="1516"/>
      <c r="AD302" s="1516"/>
      <c r="AE302" s="1516"/>
      <c r="AF302" s="1516"/>
      <c r="AG302" s="1539"/>
      <c r="AH302" s="1539"/>
      <c r="AI302" s="1539"/>
      <c r="AJ302" s="1539"/>
      <c r="AK302" s="1539"/>
    </row>
    <row r="303" spans="1:51" ht="12.9"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 customHeight="1">
      <c r="B304" s="3" t="s">
        <v>323</v>
      </c>
      <c r="C304" s="3"/>
      <c r="D304" s="3"/>
      <c r="E304" s="3"/>
      <c r="F304" s="3"/>
      <c r="H304" s="1539" t="s">
        <v>2705</v>
      </c>
      <c r="I304" s="1539"/>
      <c r="J304" s="1539"/>
      <c r="K304" s="1539"/>
      <c r="L304" s="1539"/>
      <c r="M304" s="1539"/>
      <c r="N304" s="1539"/>
      <c r="O304" s="1539"/>
      <c r="P304" s="1539"/>
      <c r="Q304" s="1539"/>
      <c r="R304" s="1539"/>
      <c r="T304" s="3" t="s">
        <v>364</v>
      </c>
      <c r="V304" s="3"/>
      <c r="W304" s="3"/>
      <c r="X304" s="3"/>
      <c r="Y304" s="3"/>
      <c r="AA304" s="1539" t="s">
        <v>2711</v>
      </c>
      <c r="AB304" s="1539"/>
      <c r="AC304" s="1539"/>
      <c r="AD304" s="1539"/>
      <c r="AE304" s="1539"/>
      <c r="AF304" s="1539"/>
      <c r="AG304" s="1539"/>
      <c r="AH304" s="1539"/>
      <c r="AI304" s="1539"/>
      <c r="AJ304" s="1539"/>
      <c r="AK304" s="1539"/>
    </row>
    <row r="305" spans="2:72" ht="12.9" customHeight="1">
      <c r="B305" s="3" t="s">
        <v>469</v>
      </c>
      <c r="C305" s="3"/>
      <c r="D305" s="3"/>
      <c r="E305" s="3"/>
      <c r="F305" s="3"/>
      <c r="H305" s="1516" t="s">
        <v>2706</v>
      </c>
      <c r="I305" s="1516"/>
      <c r="J305" s="1516"/>
      <c r="K305" s="1516"/>
      <c r="L305" s="1516"/>
      <c r="M305" s="1516"/>
      <c r="N305" s="1516"/>
      <c r="O305" s="1516"/>
      <c r="P305" s="1516"/>
      <c r="Q305" s="1516"/>
      <c r="R305" s="1516"/>
      <c r="T305" s="3" t="s">
        <v>469</v>
      </c>
      <c r="V305" s="3"/>
      <c r="W305" s="3"/>
      <c r="X305" s="3"/>
      <c r="Y305" s="3"/>
      <c r="AA305" s="1516" t="s">
        <v>2712</v>
      </c>
      <c r="AB305" s="1516"/>
      <c r="AC305" s="1516"/>
      <c r="AD305" s="1516"/>
      <c r="AE305" s="1516"/>
      <c r="AF305" s="1516"/>
      <c r="AG305" s="1516"/>
      <c r="AH305" s="1516"/>
      <c r="AI305" s="1516"/>
      <c r="AJ305" s="1516"/>
      <c r="AK305" s="1516"/>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 customHeight="1">
      <c r="B306" s="3" t="s">
        <v>470</v>
      </c>
      <c r="C306" s="3"/>
      <c r="D306" s="3"/>
      <c r="E306" s="3"/>
      <c r="F306" s="3"/>
      <c r="H306" s="1516" t="s">
        <v>2707</v>
      </c>
      <c r="I306" s="1516"/>
      <c r="J306" s="1516"/>
      <c r="K306" s="1516"/>
      <c r="L306" s="1516"/>
      <c r="M306" s="1516"/>
      <c r="N306" s="1516"/>
      <c r="O306" s="1516"/>
      <c r="P306" s="1516"/>
      <c r="Q306" s="1516"/>
      <c r="R306" s="1516"/>
      <c r="T306" s="3" t="s">
        <v>75</v>
      </c>
      <c r="V306" s="3"/>
      <c r="W306" s="3"/>
      <c r="X306" s="3"/>
      <c r="Y306" s="3"/>
      <c r="AA306" s="1516" t="s">
        <v>2713</v>
      </c>
      <c r="AB306" s="1516"/>
      <c r="AC306" s="1516"/>
      <c r="AD306" s="1516"/>
      <c r="AE306" s="1516"/>
      <c r="AF306" s="1516"/>
      <c r="AG306" s="1516"/>
      <c r="AH306" s="1516"/>
      <c r="AI306" s="1516"/>
      <c r="AJ306" s="1516"/>
      <c r="AK306" s="1516"/>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 customHeight="1">
      <c r="B307" s="3" t="s">
        <v>87</v>
      </c>
      <c r="C307" s="3"/>
      <c r="D307" s="3"/>
      <c r="E307" s="3"/>
      <c r="F307" s="3"/>
      <c r="H307" s="1516" t="s">
        <v>2708</v>
      </c>
      <c r="I307" s="1516"/>
      <c r="J307" s="1516"/>
      <c r="K307" s="1516"/>
      <c r="L307" s="1516"/>
      <c r="M307" s="1516"/>
      <c r="N307" s="1516"/>
      <c r="O307" s="1516"/>
      <c r="P307" s="1516"/>
      <c r="Q307" s="1516"/>
      <c r="R307" s="1516"/>
      <c r="T307" s="3" t="s">
        <v>87</v>
      </c>
      <c r="V307" s="3"/>
      <c r="W307" s="3"/>
      <c r="X307" s="3"/>
      <c r="Y307" s="3"/>
      <c r="AA307" s="1516" t="s">
        <v>2714</v>
      </c>
      <c r="AB307" s="1516"/>
      <c r="AC307" s="1516"/>
      <c r="AD307" s="1516"/>
      <c r="AE307" s="1516"/>
      <c r="AF307" s="1516"/>
      <c r="AG307" s="1516"/>
      <c r="AH307" s="1516"/>
      <c r="AI307" s="1516"/>
      <c r="AJ307" s="1516"/>
      <c r="AK307" s="1516"/>
    </row>
    <row r="308" spans="2:72" ht="12.9" customHeight="1">
      <c r="B308" s="3" t="s">
        <v>88</v>
      </c>
      <c r="C308" s="3"/>
      <c r="D308" s="3"/>
      <c r="E308" s="3"/>
      <c r="F308" s="3"/>
      <c r="G308" s="3"/>
      <c r="H308" s="1576" t="s">
        <v>2709</v>
      </c>
      <c r="I308" s="1576"/>
      <c r="J308" s="1576"/>
      <c r="K308" s="1576"/>
      <c r="L308" s="1576"/>
      <c r="M308" s="1576"/>
      <c r="N308" s="4" t="s">
        <v>206</v>
      </c>
      <c r="O308" s="4"/>
      <c r="P308" s="1570"/>
      <c r="Q308" s="1570"/>
      <c r="R308" s="1570"/>
      <c r="S308" s="3"/>
      <c r="T308" s="3" t="s">
        <v>88</v>
      </c>
      <c r="V308" s="3"/>
      <c r="W308" s="3"/>
      <c r="X308" s="3"/>
      <c r="Y308" s="3"/>
      <c r="AA308" s="1576" t="s">
        <v>2715</v>
      </c>
      <c r="AB308" s="1576"/>
      <c r="AC308" s="1576"/>
      <c r="AD308" s="1576"/>
      <c r="AE308" s="1576"/>
      <c r="AF308" s="1576"/>
      <c r="AG308" s="4" t="s">
        <v>206</v>
      </c>
      <c r="AH308" s="4"/>
      <c r="AI308" s="1570"/>
      <c r="AJ308" s="1570"/>
      <c r="AK308" s="1570"/>
    </row>
    <row r="309" spans="2:72" ht="12.9" customHeight="1">
      <c r="B309" s="3" t="s">
        <v>89</v>
      </c>
      <c r="C309" s="3"/>
      <c r="D309" s="3"/>
      <c r="E309" s="3"/>
      <c r="F309" s="3"/>
      <c r="G309" s="3"/>
      <c r="H309" s="1517"/>
      <c r="I309" s="1517"/>
      <c r="J309" s="1517"/>
      <c r="K309" s="1517"/>
      <c r="L309" s="1517"/>
      <c r="M309" s="1517"/>
      <c r="N309" s="4"/>
      <c r="O309" s="4"/>
      <c r="P309" s="35"/>
      <c r="Q309" s="35"/>
      <c r="R309" s="35"/>
      <c r="S309" s="3"/>
      <c r="T309" s="3" t="s">
        <v>89</v>
      </c>
      <c r="V309" s="3"/>
      <c r="W309" s="3"/>
      <c r="X309" s="3"/>
      <c r="Y309" s="3"/>
      <c r="AA309" s="1517"/>
      <c r="AB309" s="1517"/>
      <c r="AC309" s="1517"/>
      <c r="AD309" s="1517"/>
      <c r="AE309" s="1517"/>
      <c r="AF309" s="1517"/>
      <c r="AG309" s="4"/>
      <c r="AH309" s="4"/>
      <c r="AI309" s="35"/>
      <c r="AJ309" s="35"/>
      <c r="AK309" s="35"/>
    </row>
    <row r="310" spans="2:72" ht="12.9" customHeight="1">
      <c r="B310" s="3" t="s">
        <v>76</v>
      </c>
      <c r="C310" s="3"/>
      <c r="D310" s="3"/>
      <c r="E310" s="3"/>
      <c r="F310" s="3"/>
      <c r="G310" s="3"/>
      <c r="H310" s="1516" t="s">
        <v>2710</v>
      </c>
      <c r="I310" s="1516"/>
      <c r="J310" s="1516"/>
      <c r="K310" s="1516"/>
      <c r="L310" s="1516"/>
      <c r="M310" s="1516"/>
      <c r="N310" s="1539"/>
      <c r="O310" s="1539"/>
      <c r="P310" s="1539"/>
      <c r="Q310" s="1539"/>
      <c r="R310" s="1539"/>
      <c r="S310" s="3"/>
      <c r="T310" s="3" t="s">
        <v>76</v>
      </c>
      <c r="V310" s="3"/>
      <c r="W310" s="3"/>
      <c r="X310" s="3"/>
      <c r="Y310" s="3"/>
      <c r="AA310" s="1516" t="s">
        <v>2716</v>
      </c>
      <c r="AB310" s="1516"/>
      <c r="AC310" s="1516"/>
      <c r="AD310" s="1516"/>
      <c r="AE310" s="1516"/>
      <c r="AF310" s="1516"/>
      <c r="AG310" s="1539"/>
      <c r="AH310" s="1539"/>
      <c r="AI310" s="1539"/>
      <c r="AJ310" s="1539"/>
      <c r="AK310" s="1539"/>
    </row>
    <row r="311" spans="2:72" ht="12.9" customHeight="1"/>
    <row r="312" spans="2:72" ht="12.9" customHeight="1">
      <c r="B312" s="3" t="s">
        <v>77</v>
      </c>
      <c r="C312" s="3"/>
      <c r="D312" s="3"/>
      <c r="E312" s="3"/>
      <c r="F312" s="3"/>
      <c r="H312" s="1539" t="s">
        <v>2717</v>
      </c>
      <c r="I312" s="1539"/>
      <c r="J312" s="1539"/>
      <c r="K312" s="1539"/>
      <c r="L312" s="1539"/>
      <c r="M312" s="1539"/>
      <c r="N312" s="1539"/>
      <c r="O312" s="1539"/>
      <c r="P312" s="1539"/>
      <c r="Q312" s="1539"/>
      <c r="R312" s="1539"/>
      <c r="T312" s="4" t="s">
        <v>876</v>
      </c>
      <c r="V312" s="3"/>
      <c r="W312" s="3"/>
      <c r="X312" s="3"/>
      <c r="Y312" s="3"/>
      <c r="AA312" s="1539" t="s">
        <v>2723</v>
      </c>
      <c r="AB312" s="1539"/>
      <c r="AC312" s="1539"/>
      <c r="AD312" s="1539"/>
      <c r="AE312" s="1539"/>
      <c r="AF312" s="1539"/>
      <c r="AG312" s="1539"/>
      <c r="AH312" s="1539"/>
      <c r="AI312" s="1539"/>
      <c r="AJ312" s="1539"/>
      <c r="AK312" s="1539"/>
    </row>
    <row r="313" spans="2:72" ht="12.9" customHeight="1">
      <c r="B313" s="3" t="s">
        <v>469</v>
      </c>
      <c r="C313" s="3"/>
      <c r="D313" s="3"/>
      <c r="E313" s="3"/>
      <c r="F313" s="3"/>
      <c r="H313" s="1516" t="s">
        <v>2718</v>
      </c>
      <c r="I313" s="1516"/>
      <c r="J313" s="1516"/>
      <c r="K313" s="1516"/>
      <c r="L313" s="1516"/>
      <c r="M313" s="1516"/>
      <c r="N313" s="1516"/>
      <c r="O313" s="1516"/>
      <c r="P313" s="1516"/>
      <c r="Q313" s="1516"/>
      <c r="R313" s="1516"/>
      <c r="T313" s="3" t="s">
        <v>469</v>
      </c>
      <c r="V313" s="3"/>
      <c r="W313" s="3"/>
      <c r="X313" s="3"/>
      <c r="Y313" s="3"/>
      <c r="AA313" s="1516" t="s">
        <v>2724</v>
      </c>
      <c r="AB313" s="1516"/>
      <c r="AC313" s="1516"/>
      <c r="AD313" s="1516"/>
      <c r="AE313" s="1516"/>
      <c r="AF313" s="1516"/>
      <c r="AG313" s="1516"/>
      <c r="AH313" s="1516"/>
      <c r="AI313" s="1516"/>
      <c r="AJ313" s="1516"/>
      <c r="AK313" s="1516"/>
    </row>
    <row r="314" spans="2:72" ht="12.9" customHeight="1">
      <c r="B314" s="3" t="s">
        <v>470</v>
      </c>
      <c r="C314" s="3"/>
      <c r="D314" s="3"/>
      <c r="E314" s="3"/>
      <c r="F314" s="3"/>
      <c r="H314" s="1516" t="s">
        <v>2719</v>
      </c>
      <c r="I314" s="1516"/>
      <c r="J314" s="1516"/>
      <c r="K314" s="1516"/>
      <c r="L314" s="1516"/>
      <c r="M314" s="1516"/>
      <c r="N314" s="1516"/>
      <c r="O314" s="1516"/>
      <c r="P314" s="1516"/>
      <c r="Q314" s="1516"/>
      <c r="R314" s="1516"/>
      <c r="T314" s="3" t="s">
        <v>75</v>
      </c>
      <c r="V314" s="3"/>
      <c r="W314" s="3"/>
      <c r="X314" s="3"/>
      <c r="Y314" s="3"/>
      <c r="AA314" s="1516" t="s">
        <v>2725</v>
      </c>
      <c r="AB314" s="1516"/>
      <c r="AC314" s="1516"/>
      <c r="AD314" s="1516"/>
      <c r="AE314" s="1516"/>
      <c r="AF314" s="1516"/>
      <c r="AG314" s="1516"/>
      <c r="AH314" s="1516"/>
      <c r="AI314" s="1516"/>
      <c r="AJ314" s="1516"/>
      <c r="AK314" s="1516"/>
    </row>
    <row r="315" spans="2:72" ht="12.9" customHeight="1">
      <c r="B315" s="3" t="s">
        <v>87</v>
      </c>
      <c r="C315" s="3"/>
      <c r="D315" s="3"/>
      <c r="E315" s="3"/>
      <c r="F315" s="3"/>
      <c r="H315" s="1516" t="s">
        <v>2720</v>
      </c>
      <c r="I315" s="1516"/>
      <c r="J315" s="1516"/>
      <c r="K315" s="1516"/>
      <c r="L315" s="1516"/>
      <c r="M315" s="1516"/>
      <c r="N315" s="1516"/>
      <c r="O315" s="1516"/>
      <c r="P315" s="1516"/>
      <c r="Q315" s="1516"/>
      <c r="R315" s="1516"/>
      <c r="T315" s="3" t="s">
        <v>87</v>
      </c>
      <c r="V315" s="3"/>
      <c r="W315" s="3"/>
      <c r="X315" s="3"/>
      <c r="Y315" s="3"/>
      <c r="AA315" s="1516" t="s">
        <v>2726</v>
      </c>
      <c r="AB315" s="1516"/>
      <c r="AC315" s="1516"/>
      <c r="AD315" s="1516"/>
      <c r="AE315" s="1516"/>
      <c r="AF315" s="1516"/>
      <c r="AG315" s="1516"/>
      <c r="AH315" s="1516"/>
      <c r="AI315" s="1516"/>
      <c r="AJ315" s="1516"/>
      <c r="AK315" s="1516"/>
    </row>
    <row r="316" spans="2:72" ht="12.9" customHeight="1">
      <c r="B316" s="3" t="s">
        <v>88</v>
      </c>
      <c r="C316" s="3"/>
      <c r="D316" s="3"/>
      <c r="E316" s="3"/>
      <c r="F316" s="3"/>
      <c r="G316" s="3"/>
      <c r="H316" s="1576" t="s">
        <v>2721</v>
      </c>
      <c r="I316" s="1576"/>
      <c r="J316" s="1576"/>
      <c r="K316" s="1576"/>
      <c r="L316" s="1576"/>
      <c r="M316" s="1576"/>
      <c r="N316" s="4" t="s">
        <v>206</v>
      </c>
      <c r="O316" s="4"/>
      <c r="P316" s="1570"/>
      <c r="Q316" s="1570"/>
      <c r="R316" s="1570"/>
      <c r="S316" s="3"/>
      <c r="T316" s="3" t="s">
        <v>88</v>
      </c>
      <c r="V316" s="3"/>
      <c r="W316" s="3"/>
      <c r="X316" s="3"/>
      <c r="Y316" s="3"/>
      <c r="AA316" s="1576" t="s">
        <v>2727</v>
      </c>
      <c r="AB316" s="1576"/>
      <c r="AC316" s="1576"/>
      <c r="AD316" s="1576"/>
      <c r="AE316" s="1576"/>
      <c r="AF316" s="1576"/>
      <c r="AG316" s="4" t="s">
        <v>206</v>
      </c>
      <c r="AH316" s="4"/>
      <c r="AI316" s="1570"/>
      <c r="AJ316" s="1570"/>
      <c r="AK316" s="1570"/>
    </row>
    <row r="317" spans="2:72" ht="12.9" customHeight="1">
      <c r="B317" s="3" t="s">
        <v>89</v>
      </c>
      <c r="C317" s="3"/>
      <c r="D317" s="3"/>
      <c r="E317" s="3"/>
      <c r="F317" s="3"/>
      <c r="G317" s="3"/>
      <c r="H317" s="1517"/>
      <c r="I317" s="1517"/>
      <c r="J317" s="1517"/>
      <c r="K317" s="1517"/>
      <c r="L317" s="1517"/>
      <c r="M317" s="1517"/>
      <c r="N317" s="4"/>
      <c r="O317" s="4"/>
      <c r="P317" s="35"/>
      <c r="Q317" s="35"/>
      <c r="R317" s="35"/>
      <c r="S317" s="3"/>
      <c r="T317" s="3" t="s">
        <v>89</v>
      </c>
      <c r="V317" s="3"/>
      <c r="W317" s="3"/>
      <c r="X317" s="3"/>
      <c r="Y317" s="3"/>
      <c r="AA317" s="1517"/>
      <c r="AB317" s="1517"/>
      <c r="AC317" s="1517"/>
      <c r="AD317" s="1517"/>
      <c r="AE317" s="1517"/>
      <c r="AF317" s="1517"/>
      <c r="AG317" s="4"/>
      <c r="AH317" s="4"/>
      <c r="AI317" s="35"/>
      <c r="AJ317" s="35"/>
      <c r="AK317" s="35"/>
    </row>
    <row r="318" spans="2:72" ht="12.9" customHeight="1">
      <c r="B318" s="3" t="s">
        <v>76</v>
      </c>
      <c r="C318" s="3"/>
      <c r="D318" s="3"/>
      <c r="E318" s="3"/>
      <c r="F318" s="3"/>
      <c r="G318" s="3"/>
      <c r="H318" s="1516" t="s">
        <v>2722</v>
      </c>
      <c r="I318" s="1516"/>
      <c r="J318" s="1516"/>
      <c r="K318" s="1516"/>
      <c r="L318" s="1516"/>
      <c r="M318" s="1516"/>
      <c r="N318" s="1539"/>
      <c r="O318" s="1539"/>
      <c r="P318" s="1539"/>
      <c r="Q318" s="1539"/>
      <c r="R318" s="1539"/>
      <c r="S318" s="3"/>
      <c r="T318" s="3" t="s">
        <v>76</v>
      </c>
      <c r="V318" s="3"/>
      <c r="W318" s="3"/>
      <c r="X318" s="3"/>
      <c r="Y318" s="3"/>
      <c r="AA318" s="1516" t="s">
        <v>2728</v>
      </c>
      <c r="AB318" s="1516"/>
      <c r="AC318" s="1516"/>
      <c r="AD318" s="1516"/>
      <c r="AE318" s="1516"/>
      <c r="AF318" s="1516"/>
      <c r="AG318" s="1539"/>
      <c r="AH318" s="1539"/>
      <c r="AI318" s="1539"/>
      <c r="AJ318" s="1539"/>
      <c r="AK318" s="1539"/>
    </row>
    <row r="319" spans="2:72" ht="12.9"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 customHeight="1">
      <c r="B320" s="4" t="s">
        <v>905</v>
      </c>
      <c r="C320" s="3"/>
      <c r="D320" s="3"/>
      <c r="E320" s="3"/>
      <c r="F320" s="3"/>
      <c r="H320" s="1539" t="s">
        <v>2729</v>
      </c>
      <c r="I320" s="1539"/>
      <c r="J320" s="1539"/>
      <c r="K320" s="1539"/>
      <c r="L320" s="1539"/>
      <c r="M320" s="1539"/>
      <c r="N320" s="1539"/>
      <c r="O320" s="1539"/>
      <c r="P320" s="1539"/>
      <c r="Q320" s="1539"/>
      <c r="R320" s="1539"/>
      <c r="S320" s="3"/>
      <c r="T320" s="3" t="s">
        <v>365</v>
      </c>
      <c r="V320" s="3"/>
      <c r="W320" s="3"/>
      <c r="X320" s="3"/>
      <c r="Y320" s="3"/>
      <c r="AA320" s="1539" t="s">
        <v>2733</v>
      </c>
      <c r="AB320" s="1539"/>
      <c r="AC320" s="1539"/>
      <c r="AD320" s="1539"/>
      <c r="AE320" s="1539"/>
      <c r="AF320" s="1539"/>
      <c r="AG320" s="1539"/>
      <c r="AH320" s="1539"/>
      <c r="AI320" s="1539"/>
      <c r="AJ320" s="1539"/>
      <c r="AK320" s="1539"/>
    </row>
    <row r="321" spans="2:37" ht="12.9" customHeight="1">
      <c r="B321" s="3" t="s">
        <v>469</v>
      </c>
      <c r="C321" s="3"/>
      <c r="D321" s="3"/>
      <c r="E321" s="3"/>
      <c r="F321" s="3"/>
      <c r="H321" s="1516" t="s">
        <v>2730</v>
      </c>
      <c r="I321" s="1516"/>
      <c r="J321" s="1516"/>
      <c r="K321" s="1516"/>
      <c r="L321" s="1516"/>
      <c r="M321" s="1516"/>
      <c r="N321" s="1516"/>
      <c r="O321" s="1516"/>
      <c r="P321" s="1516"/>
      <c r="Q321" s="1516"/>
      <c r="R321" s="1516"/>
      <c r="S321" s="3"/>
      <c r="T321" s="3" t="s">
        <v>469</v>
      </c>
      <c r="V321" s="3"/>
      <c r="W321" s="3"/>
      <c r="X321" s="3"/>
      <c r="Y321" s="3"/>
      <c r="AA321" s="1516" t="s">
        <v>2734</v>
      </c>
      <c r="AB321" s="1516"/>
      <c r="AC321" s="1516"/>
      <c r="AD321" s="1516"/>
      <c r="AE321" s="1516"/>
      <c r="AF321" s="1516"/>
      <c r="AG321" s="1516"/>
      <c r="AH321" s="1516"/>
      <c r="AI321" s="1516"/>
      <c r="AJ321" s="1516"/>
      <c r="AK321" s="1516"/>
    </row>
    <row r="322" spans="2:37" ht="12.9" customHeight="1">
      <c r="B322" s="3" t="s">
        <v>470</v>
      </c>
      <c r="C322" s="3"/>
      <c r="D322" s="3"/>
      <c r="E322" s="3"/>
      <c r="F322" s="3"/>
      <c r="H322" s="1516" t="s">
        <v>2731</v>
      </c>
      <c r="I322" s="1516"/>
      <c r="J322" s="1516"/>
      <c r="K322" s="1516"/>
      <c r="L322" s="1516"/>
      <c r="M322" s="1516"/>
      <c r="N322" s="1516"/>
      <c r="O322" s="1516"/>
      <c r="P322" s="1516"/>
      <c r="Q322" s="1516"/>
      <c r="R322" s="1516"/>
      <c r="S322" s="3"/>
      <c r="T322" s="3" t="s">
        <v>75</v>
      </c>
      <c r="V322" s="3"/>
      <c r="W322" s="3"/>
      <c r="X322" s="3"/>
      <c r="Y322" s="3"/>
      <c r="AA322" s="1516" t="s">
        <v>2735</v>
      </c>
      <c r="AB322" s="1516"/>
      <c r="AC322" s="1516"/>
      <c r="AD322" s="1516"/>
      <c r="AE322" s="1516"/>
      <c r="AF322" s="1516"/>
      <c r="AG322" s="1516"/>
      <c r="AH322" s="1516"/>
      <c r="AI322" s="1516"/>
      <c r="AJ322" s="1516"/>
      <c r="AK322" s="1516"/>
    </row>
    <row r="323" spans="2:37" ht="12.9" customHeight="1">
      <c r="B323" s="3" t="s">
        <v>87</v>
      </c>
      <c r="C323" s="3"/>
      <c r="D323" s="3"/>
      <c r="E323" s="3"/>
      <c r="F323" s="3"/>
      <c r="H323" s="1516" t="s">
        <v>2720</v>
      </c>
      <c r="I323" s="1516"/>
      <c r="J323" s="1516"/>
      <c r="K323" s="1516"/>
      <c r="L323" s="1516"/>
      <c r="M323" s="1516"/>
      <c r="N323" s="1516"/>
      <c r="O323" s="1516"/>
      <c r="P323" s="1516"/>
      <c r="Q323" s="1516"/>
      <c r="R323" s="1516"/>
      <c r="S323" s="3"/>
      <c r="T323" s="3" t="s">
        <v>87</v>
      </c>
      <c r="V323" s="3"/>
      <c r="W323" s="3"/>
      <c r="X323" s="3"/>
      <c r="Y323" s="3"/>
      <c r="AA323" s="1516" t="s">
        <v>2736</v>
      </c>
      <c r="AB323" s="1516"/>
      <c r="AC323" s="1516"/>
      <c r="AD323" s="1516"/>
      <c r="AE323" s="1516"/>
      <c r="AF323" s="1516"/>
      <c r="AG323" s="1516"/>
      <c r="AH323" s="1516"/>
      <c r="AI323" s="1516"/>
      <c r="AJ323" s="1516"/>
      <c r="AK323" s="1516"/>
    </row>
    <row r="324" spans="2:37" ht="12.9" customHeight="1">
      <c r="B324" s="3" t="s">
        <v>88</v>
      </c>
      <c r="C324" s="3"/>
      <c r="D324" s="3"/>
      <c r="E324" s="3"/>
      <c r="F324" s="3"/>
      <c r="G324" s="3"/>
      <c r="H324" s="1576" t="s">
        <v>2732</v>
      </c>
      <c r="I324" s="1576"/>
      <c r="J324" s="1576"/>
      <c r="K324" s="1576"/>
      <c r="L324" s="1576"/>
      <c r="M324" s="1576"/>
      <c r="N324" s="4" t="s">
        <v>206</v>
      </c>
      <c r="O324" s="4"/>
      <c r="P324" s="1570"/>
      <c r="Q324" s="1570"/>
      <c r="R324" s="1570"/>
      <c r="S324" s="3"/>
      <c r="T324" s="3" t="s">
        <v>88</v>
      </c>
      <c r="V324" s="3"/>
      <c r="W324" s="3"/>
      <c r="X324" s="3"/>
      <c r="Y324" s="3"/>
      <c r="AA324" s="1576" t="s">
        <v>2737</v>
      </c>
      <c r="AB324" s="1576"/>
      <c r="AC324" s="1576"/>
      <c r="AD324" s="1576"/>
      <c r="AE324" s="1576"/>
      <c r="AF324" s="1576"/>
      <c r="AG324" s="4" t="s">
        <v>206</v>
      </c>
      <c r="AH324" s="4"/>
      <c r="AI324" s="1570"/>
      <c r="AJ324" s="1570"/>
      <c r="AK324" s="1570"/>
    </row>
    <row r="325" spans="2:37" ht="12.9" customHeight="1">
      <c r="B325" s="3" t="s">
        <v>89</v>
      </c>
      <c r="C325" s="3"/>
      <c r="D325" s="3"/>
      <c r="E325" s="3"/>
      <c r="F325" s="3"/>
      <c r="G325" s="3"/>
      <c r="H325" s="1517"/>
      <c r="I325" s="1517"/>
      <c r="J325" s="1517"/>
      <c r="K325" s="1517"/>
      <c r="L325" s="1517"/>
      <c r="M325" s="1517"/>
      <c r="N325" s="4"/>
      <c r="O325" s="4"/>
      <c r="P325" s="35"/>
      <c r="Q325" s="35"/>
      <c r="R325" s="35"/>
      <c r="S325" s="3"/>
      <c r="T325" s="3" t="s">
        <v>89</v>
      </c>
      <c r="V325" s="3"/>
      <c r="W325" s="3"/>
      <c r="X325" s="3"/>
      <c r="Y325" s="3"/>
      <c r="AA325" s="1517"/>
      <c r="AB325" s="1517"/>
      <c r="AC325" s="1517"/>
      <c r="AD325" s="1517"/>
      <c r="AE325" s="1517"/>
      <c r="AF325" s="1517"/>
      <c r="AG325" s="4"/>
      <c r="AH325" s="4"/>
      <c r="AI325" s="35"/>
      <c r="AJ325" s="35"/>
      <c r="AK325" s="35"/>
    </row>
    <row r="326" spans="2:37" ht="12.9" customHeight="1">
      <c r="B326" s="3" t="s">
        <v>76</v>
      </c>
      <c r="C326" s="3"/>
      <c r="D326" s="3"/>
      <c r="E326" s="3"/>
      <c r="F326" s="3"/>
      <c r="G326" s="3"/>
      <c r="H326" s="1516" t="s">
        <v>2722</v>
      </c>
      <c r="I326" s="1516"/>
      <c r="J326" s="1516"/>
      <c r="K326" s="1516"/>
      <c r="L326" s="1516"/>
      <c r="M326" s="1516"/>
      <c r="N326" s="1539"/>
      <c r="O326" s="1539"/>
      <c r="P326" s="1539"/>
      <c r="Q326" s="1539"/>
      <c r="R326" s="1539"/>
      <c r="S326" s="3"/>
      <c r="T326" s="3" t="s">
        <v>76</v>
      </c>
      <c r="V326" s="3"/>
      <c r="W326" s="3"/>
      <c r="X326" s="3"/>
      <c r="Y326" s="3"/>
      <c r="AA326" s="1516" t="s">
        <v>2738</v>
      </c>
      <c r="AB326" s="1516"/>
      <c r="AC326" s="1516"/>
      <c r="AD326" s="1516"/>
      <c r="AE326" s="1516"/>
      <c r="AF326" s="1516"/>
      <c r="AG326" s="1539"/>
      <c r="AH326" s="1539"/>
      <c r="AI326" s="1539"/>
      <c r="AJ326" s="1539"/>
      <c r="AK326" s="1539"/>
    </row>
    <row r="327" spans="2:37" ht="12.9" customHeight="1"/>
    <row r="328" spans="2:37" ht="12.9" customHeight="1">
      <c r="B328" s="4" t="s">
        <v>906</v>
      </c>
      <c r="C328" s="3"/>
      <c r="D328" s="3"/>
      <c r="E328" s="3"/>
      <c r="F328" s="3"/>
      <c r="H328" s="1539"/>
      <c r="I328" s="1539"/>
      <c r="J328" s="1539"/>
      <c r="K328" s="1539"/>
      <c r="L328" s="1539"/>
      <c r="M328" s="1539"/>
      <c r="N328" s="1539"/>
      <c r="O328" s="1539"/>
      <c r="P328" s="1539"/>
      <c r="Q328" s="1539"/>
      <c r="R328" s="1539"/>
      <c r="T328" s="3" t="s">
        <v>366</v>
      </c>
      <c r="V328" s="3"/>
      <c r="W328" s="3"/>
      <c r="X328" s="3"/>
      <c r="Y328" s="3"/>
      <c r="AA328" s="1539" t="s">
        <v>2739</v>
      </c>
      <c r="AB328" s="1539"/>
      <c r="AC328" s="1539"/>
      <c r="AD328" s="1539"/>
      <c r="AE328" s="1539"/>
      <c r="AF328" s="1539"/>
      <c r="AG328" s="1539"/>
      <c r="AH328" s="1539"/>
      <c r="AI328" s="1539"/>
      <c r="AJ328" s="1539"/>
      <c r="AK328" s="1539"/>
    </row>
    <row r="329" spans="2:37" ht="12.9" customHeight="1">
      <c r="B329" s="3" t="s">
        <v>469</v>
      </c>
      <c r="C329" s="3"/>
      <c r="D329" s="3"/>
      <c r="E329" s="3"/>
      <c r="F329" s="3"/>
      <c r="H329" s="1516"/>
      <c r="I329" s="1516"/>
      <c r="J329" s="1516"/>
      <c r="K329" s="1516"/>
      <c r="L329" s="1516"/>
      <c r="M329" s="1516"/>
      <c r="N329" s="1516"/>
      <c r="O329" s="1516"/>
      <c r="P329" s="1516"/>
      <c r="Q329" s="1516"/>
      <c r="R329" s="1516"/>
      <c r="T329" s="3" t="s">
        <v>469</v>
      </c>
      <c r="V329" s="3"/>
      <c r="W329" s="3"/>
      <c r="X329" s="3"/>
      <c r="Y329" s="3"/>
      <c r="AA329" s="1516" t="s">
        <v>2740</v>
      </c>
      <c r="AB329" s="1516"/>
      <c r="AC329" s="1516"/>
      <c r="AD329" s="1516"/>
      <c r="AE329" s="1516"/>
      <c r="AF329" s="1516"/>
      <c r="AG329" s="1516"/>
      <c r="AH329" s="1516"/>
      <c r="AI329" s="1516"/>
      <c r="AJ329" s="1516"/>
      <c r="AK329" s="1516"/>
    </row>
    <row r="330" spans="2:37" ht="12.9" customHeight="1">
      <c r="B330" s="3" t="s">
        <v>470</v>
      </c>
      <c r="C330" s="3"/>
      <c r="D330" s="3"/>
      <c r="E330" s="3"/>
      <c r="F330" s="3"/>
      <c r="H330" s="1516"/>
      <c r="I330" s="1516"/>
      <c r="J330" s="1516"/>
      <c r="K330" s="1516"/>
      <c r="L330" s="1516"/>
      <c r="M330" s="1516"/>
      <c r="N330" s="1516"/>
      <c r="O330" s="1516"/>
      <c r="P330" s="1516"/>
      <c r="Q330" s="1516"/>
      <c r="R330" s="1516"/>
      <c r="T330" s="3" t="s">
        <v>75</v>
      </c>
      <c r="V330" s="3"/>
      <c r="W330" s="3"/>
      <c r="X330" s="3"/>
      <c r="Y330" s="3"/>
      <c r="AA330" s="1516" t="s">
        <v>2741</v>
      </c>
      <c r="AB330" s="1516"/>
      <c r="AC330" s="1516"/>
      <c r="AD330" s="1516"/>
      <c r="AE330" s="1516"/>
      <c r="AF330" s="1516"/>
      <c r="AG330" s="1516"/>
      <c r="AH330" s="1516"/>
      <c r="AI330" s="1516"/>
      <c r="AJ330" s="1516"/>
      <c r="AK330" s="1516"/>
    </row>
    <row r="331" spans="2:37" ht="12.9" customHeight="1">
      <c r="B331" s="3" t="s">
        <v>87</v>
      </c>
      <c r="C331" s="3"/>
      <c r="D331" s="3"/>
      <c r="E331" s="3"/>
      <c r="F331" s="3"/>
      <c r="H331" s="1516"/>
      <c r="I331" s="1516"/>
      <c r="J331" s="1516"/>
      <c r="K331" s="1516"/>
      <c r="L331" s="1516"/>
      <c r="M331" s="1516"/>
      <c r="N331" s="1516"/>
      <c r="O331" s="1516"/>
      <c r="P331" s="1516"/>
      <c r="Q331" s="1516"/>
      <c r="R331" s="1516"/>
      <c r="T331" s="3" t="s">
        <v>87</v>
      </c>
      <c r="V331" s="3"/>
      <c r="W331" s="3"/>
      <c r="X331" s="3"/>
      <c r="Y331" s="3"/>
      <c r="AA331" s="1516" t="s">
        <v>2742</v>
      </c>
      <c r="AB331" s="1516"/>
      <c r="AC331" s="1516"/>
      <c r="AD331" s="1516"/>
      <c r="AE331" s="1516"/>
      <c r="AF331" s="1516"/>
      <c r="AG331" s="1516"/>
      <c r="AH331" s="1516"/>
      <c r="AI331" s="1516"/>
      <c r="AJ331" s="1516"/>
      <c r="AK331" s="1516"/>
    </row>
    <row r="332" spans="2:37" ht="12.9" customHeight="1">
      <c r="B332" s="3" t="s">
        <v>88</v>
      </c>
      <c r="C332" s="3"/>
      <c r="D332" s="3"/>
      <c r="E332" s="3"/>
      <c r="F332" s="3"/>
      <c r="G332" s="3"/>
      <c r="H332" s="1576"/>
      <c r="I332" s="1576"/>
      <c r="J332" s="1576"/>
      <c r="K332" s="1576"/>
      <c r="L332" s="1576"/>
      <c r="M332" s="1576"/>
      <c r="N332" s="4" t="s">
        <v>206</v>
      </c>
      <c r="O332" s="4"/>
      <c r="P332" s="1570"/>
      <c r="Q332" s="1570"/>
      <c r="R332" s="1570"/>
      <c r="S332" s="3"/>
      <c r="T332" s="3" t="s">
        <v>88</v>
      </c>
      <c r="V332" s="3"/>
      <c r="W332" s="3"/>
      <c r="X332" s="3"/>
      <c r="Y332" s="3"/>
      <c r="AA332" s="1576" t="s">
        <v>2743</v>
      </c>
      <c r="AB332" s="1576"/>
      <c r="AC332" s="1576"/>
      <c r="AD332" s="1576"/>
      <c r="AE332" s="1576"/>
      <c r="AF332" s="1576"/>
      <c r="AG332" s="4" t="s">
        <v>206</v>
      </c>
      <c r="AH332" s="4"/>
      <c r="AI332" s="1570"/>
      <c r="AJ332" s="1570"/>
      <c r="AK332" s="1570"/>
    </row>
    <row r="333" spans="2:37" ht="12.9" customHeight="1">
      <c r="B333" s="3" t="s">
        <v>89</v>
      </c>
      <c r="C333" s="3"/>
      <c r="D333" s="3"/>
      <c r="E333" s="3"/>
      <c r="F333" s="3"/>
      <c r="G333" s="3"/>
      <c r="H333" s="1517"/>
      <c r="I333" s="1517"/>
      <c r="J333" s="1517"/>
      <c r="K333" s="1517"/>
      <c r="L333" s="1517"/>
      <c r="M333" s="1517"/>
      <c r="N333" s="4"/>
      <c r="O333" s="4"/>
      <c r="P333" s="35"/>
      <c r="Q333" s="35"/>
      <c r="R333" s="35"/>
      <c r="S333" s="3"/>
      <c r="T333" s="3" t="s">
        <v>89</v>
      </c>
      <c r="V333" s="3"/>
      <c r="W333" s="3"/>
      <c r="X333" s="3"/>
      <c r="Y333" s="3"/>
      <c r="AA333" s="1517"/>
      <c r="AB333" s="1517"/>
      <c r="AC333" s="1517"/>
      <c r="AD333" s="1517"/>
      <c r="AE333" s="1517"/>
      <c r="AF333" s="1517"/>
      <c r="AG333" s="4"/>
      <c r="AH333" s="4"/>
      <c r="AI333" s="35"/>
      <c r="AJ333" s="35"/>
      <c r="AK333" s="35"/>
    </row>
    <row r="334" spans="2:37" ht="12.9" customHeight="1">
      <c r="B334" s="3" t="s">
        <v>76</v>
      </c>
      <c r="C334" s="3"/>
      <c r="D334" s="3"/>
      <c r="E334" s="3"/>
      <c r="F334" s="3"/>
      <c r="G334" s="3"/>
      <c r="H334" s="1516"/>
      <c r="I334" s="1516"/>
      <c r="J334" s="1516"/>
      <c r="K334" s="1516"/>
      <c r="L334" s="1516"/>
      <c r="M334" s="1516"/>
      <c r="N334" s="1539"/>
      <c r="O334" s="1539"/>
      <c r="P334" s="1539"/>
      <c r="Q334" s="1539"/>
      <c r="R334" s="1539"/>
      <c r="S334" s="3"/>
      <c r="T334" s="3" t="s">
        <v>76</v>
      </c>
      <c r="V334" s="3"/>
      <c r="W334" s="3"/>
      <c r="X334" s="3"/>
      <c r="Y334" s="3"/>
      <c r="AA334" s="1516" t="s">
        <v>2744</v>
      </c>
      <c r="AB334" s="1516"/>
      <c r="AC334" s="1516"/>
      <c r="AD334" s="1516"/>
      <c r="AE334" s="1516"/>
      <c r="AF334" s="1516"/>
      <c r="AG334" s="1539"/>
      <c r="AH334" s="1539"/>
      <c r="AI334" s="1539"/>
      <c r="AJ334" s="1539"/>
      <c r="AK334" s="1539"/>
    </row>
    <row r="335" spans="2:37" ht="12.9" customHeight="1">
      <c r="B335" s="3"/>
      <c r="C335" s="3"/>
      <c r="D335" s="3"/>
      <c r="E335" s="3"/>
      <c r="F335" s="3"/>
      <c r="G335" s="3"/>
      <c r="P335" s="163"/>
      <c r="Q335" s="163"/>
      <c r="R335" s="163"/>
      <c r="S335" s="163"/>
      <c r="T335" s="163"/>
      <c r="U335" s="163"/>
      <c r="V335" s="4"/>
      <c r="W335" s="4"/>
      <c r="X335" s="35"/>
      <c r="Y335" s="35"/>
      <c r="Z335" s="35"/>
    </row>
    <row r="336" spans="2:37" ht="12.9" customHeight="1">
      <c r="B336" s="3" t="s">
        <v>367</v>
      </c>
      <c r="C336" s="3"/>
      <c r="D336" s="3"/>
      <c r="E336" s="3"/>
      <c r="F336" s="3"/>
      <c r="H336" s="1539" t="s">
        <v>2739</v>
      </c>
      <c r="I336" s="1539"/>
      <c r="J336" s="1539"/>
      <c r="K336" s="1539"/>
      <c r="L336" s="1539"/>
      <c r="M336" s="1539"/>
      <c r="N336" s="1539"/>
      <c r="O336" s="1539"/>
      <c r="P336" s="1539"/>
      <c r="Q336" s="1539"/>
      <c r="R336" s="1539"/>
      <c r="T336" s="3" t="s">
        <v>368</v>
      </c>
      <c r="V336" s="3"/>
      <c r="W336" s="3"/>
      <c r="X336" s="3"/>
      <c r="Y336" s="3"/>
      <c r="AA336" s="1539"/>
      <c r="AB336" s="1539"/>
      <c r="AC336" s="1539"/>
      <c r="AD336" s="1539"/>
      <c r="AE336" s="1539"/>
      <c r="AF336" s="1539"/>
      <c r="AG336" s="1539"/>
      <c r="AH336" s="1539"/>
      <c r="AI336" s="1539"/>
      <c r="AJ336" s="1539"/>
      <c r="AK336" s="1539"/>
    </row>
    <row r="337" spans="2:66" ht="12.9" customHeight="1">
      <c r="B337" s="3" t="s">
        <v>469</v>
      </c>
      <c r="C337" s="3"/>
      <c r="D337" s="3"/>
      <c r="E337" s="3"/>
      <c r="F337" s="3"/>
      <c r="H337" s="1516" t="s">
        <v>2740</v>
      </c>
      <c r="I337" s="1516"/>
      <c r="J337" s="1516"/>
      <c r="K337" s="1516"/>
      <c r="L337" s="1516"/>
      <c r="M337" s="1516"/>
      <c r="N337" s="1516"/>
      <c r="O337" s="1516"/>
      <c r="P337" s="1516"/>
      <c r="Q337" s="1516"/>
      <c r="R337" s="1516"/>
      <c r="T337" s="3" t="s">
        <v>469</v>
      </c>
      <c r="V337" s="3"/>
      <c r="W337" s="3"/>
      <c r="X337" s="3"/>
      <c r="Y337" s="3"/>
      <c r="AA337" s="1516"/>
      <c r="AB337" s="1516"/>
      <c r="AC337" s="1516"/>
      <c r="AD337" s="1516"/>
      <c r="AE337" s="1516"/>
      <c r="AF337" s="1516"/>
      <c r="AG337" s="1516"/>
      <c r="AH337" s="1516"/>
      <c r="AI337" s="1516"/>
      <c r="AJ337" s="1516"/>
      <c r="AK337" s="1516"/>
    </row>
    <row r="338" spans="2:66" ht="12.9" customHeight="1">
      <c r="B338" s="3" t="s">
        <v>470</v>
      </c>
      <c r="C338" s="3"/>
      <c r="D338" s="3"/>
      <c r="E338" s="3"/>
      <c r="F338" s="3"/>
      <c r="H338" s="1516" t="s">
        <v>2741</v>
      </c>
      <c r="I338" s="1516"/>
      <c r="J338" s="1516"/>
      <c r="K338" s="1516"/>
      <c r="L338" s="1516"/>
      <c r="M338" s="1516"/>
      <c r="N338" s="1516"/>
      <c r="O338" s="1516"/>
      <c r="P338" s="1516"/>
      <c r="Q338" s="1516"/>
      <c r="R338" s="1516"/>
      <c r="T338" s="3" t="s">
        <v>75</v>
      </c>
      <c r="V338" s="3"/>
      <c r="W338" s="3"/>
      <c r="X338" s="3"/>
      <c r="Y338" s="3"/>
      <c r="AA338" s="1516"/>
      <c r="AB338" s="1516"/>
      <c r="AC338" s="1516"/>
      <c r="AD338" s="1516"/>
      <c r="AE338" s="1516"/>
      <c r="AF338" s="1516"/>
      <c r="AG338" s="1516"/>
      <c r="AH338" s="1516"/>
      <c r="AI338" s="1516"/>
      <c r="AJ338" s="1516"/>
      <c r="AK338" s="1516"/>
    </row>
    <row r="339" spans="2:66" ht="12.9" customHeight="1">
      <c r="B339" s="3" t="s">
        <v>87</v>
      </c>
      <c r="C339" s="3"/>
      <c r="D339" s="3"/>
      <c r="E339" s="3"/>
      <c r="F339" s="3"/>
      <c r="H339" s="1516" t="s">
        <v>2742</v>
      </c>
      <c r="I339" s="1516"/>
      <c r="J339" s="1516"/>
      <c r="K339" s="1516"/>
      <c r="L339" s="1516"/>
      <c r="M339" s="1516"/>
      <c r="N339" s="1516"/>
      <c r="O339" s="1516"/>
      <c r="P339" s="1516"/>
      <c r="Q339" s="1516"/>
      <c r="R339" s="1516"/>
      <c r="T339" s="3" t="s">
        <v>87</v>
      </c>
      <c r="V339" s="3"/>
      <c r="W339" s="3"/>
      <c r="X339" s="3"/>
      <c r="Y339" s="3"/>
      <c r="AA339" s="1516"/>
      <c r="AB339" s="1516"/>
      <c r="AC339" s="1516"/>
      <c r="AD339" s="1516"/>
      <c r="AE339" s="1516"/>
      <c r="AF339" s="1516"/>
      <c r="AG339" s="1516"/>
      <c r="AH339" s="1516"/>
      <c r="AI339" s="1516"/>
      <c r="AJ339" s="1516"/>
      <c r="AK339" s="1516"/>
    </row>
    <row r="340" spans="2:66" ht="12.9" customHeight="1">
      <c r="B340" s="3" t="s">
        <v>88</v>
      </c>
      <c r="C340" s="3"/>
      <c r="D340" s="3"/>
      <c r="E340" s="3"/>
      <c r="F340" s="3"/>
      <c r="G340" s="3"/>
      <c r="H340" s="1576" t="s">
        <v>2743</v>
      </c>
      <c r="I340" s="1576"/>
      <c r="J340" s="1576"/>
      <c r="K340" s="1576"/>
      <c r="L340" s="1576"/>
      <c r="M340" s="1576"/>
      <c r="N340" s="4" t="s">
        <v>206</v>
      </c>
      <c r="O340" s="4"/>
      <c r="P340" s="1570"/>
      <c r="Q340" s="1570"/>
      <c r="R340" s="1570"/>
      <c r="S340" s="3"/>
      <c r="T340" s="3" t="s">
        <v>88</v>
      </c>
      <c r="V340" s="3"/>
      <c r="W340" s="3"/>
      <c r="X340" s="3"/>
      <c r="Y340" s="3"/>
      <c r="AA340" s="1576"/>
      <c r="AB340" s="1576"/>
      <c r="AC340" s="1576"/>
      <c r="AD340" s="1576"/>
      <c r="AE340" s="1576"/>
      <c r="AF340" s="1576"/>
      <c r="AG340" s="4" t="s">
        <v>206</v>
      </c>
      <c r="AH340" s="4"/>
      <c r="AI340" s="1570"/>
      <c r="AJ340" s="1570"/>
      <c r="AK340" s="1570"/>
    </row>
    <row r="341" spans="2:66" ht="12.9" customHeight="1">
      <c r="B341" s="3" t="s">
        <v>89</v>
      </c>
      <c r="C341" s="3"/>
      <c r="D341" s="3"/>
      <c r="E341" s="3"/>
      <c r="F341" s="3"/>
      <c r="G341" s="3"/>
      <c r="H341" s="1517"/>
      <c r="I341" s="1517"/>
      <c r="J341" s="1517"/>
      <c r="K341" s="1517"/>
      <c r="L341" s="1517"/>
      <c r="M341" s="1517"/>
      <c r="N341" s="4"/>
      <c r="O341" s="4"/>
      <c r="P341" s="35"/>
      <c r="Q341" s="35"/>
      <c r="R341" s="35"/>
      <c r="S341" s="3"/>
      <c r="T341" s="3" t="s">
        <v>89</v>
      </c>
      <c r="V341" s="3"/>
      <c r="W341" s="3"/>
      <c r="X341" s="3"/>
      <c r="Y341" s="3"/>
      <c r="AA341" s="1517"/>
      <c r="AB341" s="1517"/>
      <c r="AC341" s="1517"/>
      <c r="AD341" s="1517"/>
      <c r="AE341" s="1517"/>
      <c r="AF341" s="1517"/>
      <c r="AG341" s="4"/>
      <c r="AH341" s="4"/>
      <c r="AI341" s="35"/>
      <c r="AJ341" s="35"/>
      <c r="AK341" s="35"/>
    </row>
    <row r="342" spans="2:66" ht="12.9" customHeight="1">
      <c r="B342" s="3" t="s">
        <v>76</v>
      </c>
      <c r="C342" s="3"/>
      <c r="D342" s="3"/>
      <c r="E342" s="3"/>
      <c r="F342" s="3"/>
      <c r="G342" s="3"/>
      <c r="H342" s="1516" t="s">
        <v>2744</v>
      </c>
      <c r="I342" s="1516"/>
      <c r="J342" s="1516"/>
      <c r="K342" s="1516"/>
      <c r="L342" s="1516"/>
      <c r="M342" s="1516"/>
      <c r="N342" s="1539"/>
      <c r="O342" s="1539"/>
      <c r="P342" s="1539"/>
      <c r="Q342" s="1539"/>
      <c r="R342" s="1539"/>
      <c r="S342" s="3"/>
      <c r="T342" s="3" t="s">
        <v>76</v>
      </c>
      <c r="V342" s="3"/>
      <c r="W342" s="3"/>
      <c r="X342" s="3"/>
      <c r="Y342" s="3"/>
      <c r="AA342" s="1516"/>
      <c r="AB342" s="1516"/>
      <c r="AC342" s="1516"/>
      <c r="AD342" s="1516"/>
      <c r="AE342" s="1516"/>
      <c r="AF342" s="1516"/>
      <c r="AG342" s="1539"/>
      <c r="AH342" s="1539"/>
      <c r="AI342" s="1539"/>
      <c r="AJ342" s="1539"/>
      <c r="AK342" s="1539"/>
    </row>
    <row r="343" spans="2:66" ht="12.9" customHeight="1">
      <c r="B343" s="3"/>
      <c r="C343" s="3"/>
      <c r="D343" s="3"/>
      <c r="E343" s="3"/>
      <c r="F343" s="3"/>
      <c r="G343" s="3"/>
      <c r="P343" s="163"/>
      <c r="Q343" s="163"/>
      <c r="R343" s="163"/>
      <c r="S343" s="163"/>
      <c r="T343" s="163"/>
      <c r="U343" s="163"/>
      <c r="V343" s="4"/>
      <c r="W343" s="4"/>
      <c r="X343" s="35"/>
      <c r="Y343" s="35"/>
      <c r="Z343" s="35"/>
    </row>
    <row r="344" spans="2:66" ht="12.9" customHeight="1">
      <c r="B344" s="3" t="s">
        <v>329</v>
      </c>
      <c r="C344" s="3"/>
      <c r="D344" s="3"/>
      <c r="E344" s="3"/>
      <c r="F344" s="3"/>
      <c r="H344" s="1539" t="s">
        <v>2745</v>
      </c>
      <c r="I344" s="1539"/>
      <c r="J344" s="1539"/>
      <c r="K344" s="1539"/>
      <c r="L344" s="1539"/>
      <c r="M344" s="1539"/>
      <c r="N344" s="1539"/>
      <c r="O344" s="1539"/>
      <c r="P344" s="1539"/>
      <c r="Q344" s="1539"/>
      <c r="R344" s="1539"/>
      <c r="T344" s="204" t="s">
        <v>884</v>
      </c>
      <c r="V344" s="3"/>
      <c r="W344" s="3"/>
      <c r="X344" s="3"/>
      <c r="Y344" s="3"/>
      <c r="AA344" s="1539" t="s">
        <v>2751</v>
      </c>
      <c r="AB344" s="1539"/>
      <c r="AC344" s="1539"/>
      <c r="AD344" s="1539"/>
      <c r="AE344" s="1539"/>
      <c r="AF344" s="1539"/>
      <c r="AG344" s="1539"/>
      <c r="AH344" s="1539"/>
      <c r="AI344" s="1539"/>
      <c r="AJ344" s="1539"/>
      <c r="AK344" s="1539"/>
    </row>
    <row r="345" spans="2:66" ht="12.9" customHeight="1">
      <c r="B345" s="3" t="s">
        <v>469</v>
      </c>
      <c r="C345" s="3"/>
      <c r="D345" s="3"/>
      <c r="E345" s="3"/>
      <c r="F345" s="3"/>
      <c r="H345" s="1516" t="s">
        <v>2746</v>
      </c>
      <c r="I345" s="1516"/>
      <c r="J345" s="1516"/>
      <c r="K345" s="1516"/>
      <c r="L345" s="1516"/>
      <c r="M345" s="1516"/>
      <c r="N345" s="1516"/>
      <c r="O345" s="1516"/>
      <c r="P345" s="1516"/>
      <c r="Q345" s="1516"/>
      <c r="R345" s="1516"/>
      <c r="T345" s="3" t="s">
        <v>469</v>
      </c>
      <c r="V345" s="3"/>
      <c r="W345" s="3"/>
      <c r="X345" s="3"/>
      <c r="Y345" s="3"/>
      <c r="AA345" s="1516" t="s">
        <v>2752</v>
      </c>
      <c r="AB345" s="1516"/>
      <c r="AC345" s="1516"/>
      <c r="AD345" s="1516"/>
      <c r="AE345" s="1516"/>
      <c r="AF345" s="1516"/>
      <c r="AG345" s="1516"/>
      <c r="AH345" s="1516"/>
      <c r="AI345" s="1516"/>
      <c r="AJ345" s="1516"/>
      <c r="AK345" s="1516"/>
    </row>
    <row r="346" spans="2:66" ht="12.9" customHeight="1">
      <c r="B346" s="3" t="s">
        <v>75</v>
      </c>
      <c r="C346" s="3"/>
      <c r="D346" s="3"/>
      <c r="E346" s="3"/>
      <c r="F346" s="3"/>
      <c r="H346" s="1516" t="s">
        <v>2747</v>
      </c>
      <c r="I346" s="1516"/>
      <c r="J346" s="1516"/>
      <c r="K346" s="1516"/>
      <c r="L346" s="1516"/>
      <c r="M346" s="1516"/>
      <c r="N346" s="1516"/>
      <c r="O346" s="1516"/>
      <c r="P346" s="1516"/>
      <c r="Q346" s="1516"/>
      <c r="R346" s="1516"/>
      <c r="T346" s="3" t="s">
        <v>75</v>
      </c>
      <c r="V346" s="3"/>
      <c r="W346" s="3"/>
      <c r="X346" s="3"/>
      <c r="Y346" s="3"/>
      <c r="AA346" s="1516" t="s">
        <v>2753</v>
      </c>
      <c r="AB346" s="1516"/>
      <c r="AC346" s="1516"/>
      <c r="AD346" s="1516"/>
      <c r="AE346" s="1516"/>
      <c r="AF346" s="1516"/>
      <c r="AG346" s="1516"/>
      <c r="AH346" s="1516"/>
      <c r="AI346" s="1516"/>
      <c r="AJ346" s="1516"/>
      <c r="AK346" s="1516"/>
    </row>
    <row r="347" spans="2:66" ht="12.9" customHeight="1">
      <c r="B347" s="3" t="s">
        <v>87</v>
      </c>
      <c r="C347" s="3"/>
      <c r="D347" s="3"/>
      <c r="E347" s="3"/>
      <c r="F347" s="3"/>
      <c r="G347" s="3"/>
      <c r="H347" s="1516" t="s">
        <v>2748</v>
      </c>
      <c r="I347" s="1516"/>
      <c r="J347" s="1516"/>
      <c r="K347" s="1516"/>
      <c r="L347" s="1516"/>
      <c r="M347" s="1516"/>
      <c r="N347" s="1516"/>
      <c r="O347" s="1516"/>
      <c r="P347" s="1516"/>
      <c r="Q347" s="1516"/>
      <c r="R347" s="1516"/>
      <c r="T347" s="3" t="s">
        <v>87</v>
      </c>
      <c r="V347" s="3"/>
      <c r="W347" s="3"/>
      <c r="X347" s="3"/>
      <c r="Y347" s="3"/>
      <c r="AA347" s="1516" t="s">
        <v>2754</v>
      </c>
      <c r="AB347" s="1516"/>
      <c r="AC347" s="1516"/>
      <c r="AD347" s="1516"/>
      <c r="AE347" s="1516"/>
      <c r="AF347" s="1516"/>
      <c r="AG347" s="1516"/>
      <c r="AH347" s="1516"/>
      <c r="AI347" s="1516"/>
      <c r="AJ347" s="1516"/>
      <c r="AK347" s="1516"/>
    </row>
    <row r="348" spans="2:66" ht="12.9" customHeight="1">
      <c r="B348" s="3" t="s">
        <v>88</v>
      </c>
      <c r="C348" s="3"/>
      <c r="D348" s="3"/>
      <c r="E348" s="3"/>
      <c r="F348" s="3"/>
      <c r="G348" s="3"/>
      <c r="H348" s="1576" t="s">
        <v>2749</v>
      </c>
      <c r="I348" s="1576"/>
      <c r="J348" s="1576"/>
      <c r="K348" s="1576"/>
      <c r="L348" s="1576"/>
      <c r="M348" s="1576"/>
      <c r="N348" s="4" t="s">
        <v>206</v>
      </c>
      <c r="O348" s="4"/>
      <c r="P348" s="1570"/>
      <c r="Q348" s="1570"/>
      <c r="R348" s="1570"/>
      <c r="S348" s="3"/>
      <c r="T348" s="3" t="s">
        <v>88</v>
      </c>
      <c r="V348" s="3"/>
      <c r="W348" s="3"/>
      <c r="X348" s="3"/>
      <c r="Y348" s="3"/>
      <c r="AA348" s="1576" t="s">
        <v>2755</v>
      </c>
      <c r="AB348" s="1576"/>
      <c r="AC348" s="1576"/>
      <c r="AD348" s="1576"/>
      <c r="AE348" s="1576"/>
      <c r="AF348" s="1576"/>
      <c r="AG348" s="4" t="s">
        <v>206</v>
      </c>
      <c r="AH348" s="4"/>
      <c r="AI348" s="1570"/>
      <c r="AJ348" s="1570"/>
      <c r="AK348" s="1570"/>
    </row>
    <row r="349" spans="2:66" ht="12.9" customHeight="1">
      <c r="B349" s="3" t="s">
        <v>89</v>
      </c>
      <c r="C349" s="3"/>
      <c r="D349" s="3"/>
      <c r="E349" s="3"/>
      <c r="F349" s="3"/>
      <c r="G349" s="3"/>
      <c r="H349" s="1517"/>
      <c r="I349" s="1517"/>
      <c r="J349" s="1517"/>
      <c r="K349" s="1517"/>
      <c r="L349" s="1517"/>
      <c r="M349" s="1517"/>
      <c r="N349" s="4"/>
      <c r="O349" s="4"/>
      <c r="P349" s="35"/>
      <c r="Q349" s="35"/>
      <c r="R349" s="35"/>
      <c r="S349" s="3"/>
      <c r="T349" s="3" t="s">
        <v>89</v>
      </c>
      <c r="V349" s="3"/>
      <c r="W349" s="3"/>
      <c r="X349" s="3"/>
      <c r="Y349" s="3"/>
      <c r="AA349" s="1517"/>
      <c r="AB349" s="1517"/>
      <c r="AC349" s="1517"/>
      <c r="AD349" s="1517"/>
      <c r="AE349" s="1517"/>
      <c r="AF349" s="1517"/>
      <c r="AG349" s="4"/>
      <c r="AH349" s="4"/>
      <c r="AI349" s="35"/>
      <c r="AJ349" s="35"/>
      <c r="AK349" s="35"/>
    </row>
    <row r="350" spans="2:66" ht="12.9" customHeight="1">
      <c r="B350" s="3" t="s">
        <v>76</v>
      </c>
      <c r="C350" s="3"/>
      <c r="D350" s="3"/>
      <c r="E350" s="3"/>
      <c r="F350" s="3"/>
      <c r="G350" s="3"/>
      <c r="H350" s="1516" t="s">
        <v>2750</v>
      </c>
      <c r="I350" s="1516"/>
      <c r="J350" s="1516"/>
      <c r="K350" s="1516"/>
      <c r="L350" s="1516"/>
      <c r="M350" s="1516"/>
      <c r="N350" s="1539"/>
      <c r="O350" s="1539"/>
      <c r="P350" s="1539"/>
      <c r="Q350" s="1539"/>
      <c r="R350" s="1539"/>
      <c r="S350" s="3"/>
      <c r="T350" s="3" t="s">
        <v>76</v>
      </c>
      <c r="V350" s="3"/>
      <c r="W350" s="3"/>
      <c r="X350" s="3"/>
      <c r="Y350" s="3"/>
      <c r="AA350" s="1516" t="s">
        <v>2756</v>
      </c>
      <c r="AB350" s="1516"/>
      <c r="AC350" s="1516"/>
      <c r="AD350" s="1516"/>
      <c r="AE350" s="1516"/>
      <c r="AF350" s="1516"/>
      <c r="AG350" s="1539"/>
      <c r="AH350" s="1539"/>
      <c r="AI350" s="1539"/>
      <c r="AJ350" s="1539"/>
      <c r="AK350" s="1539"/>
    </row>
    <row r="351" spans="2:66" ht="12.9"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589</v>
      </c>
    </row>
    <row r="352" spans="2:66" ht="12.9" customHeight="1">
      <c r="B352" s="3"/>
      <c r="C352" s="4"/>
      <c r="D352" s="4"/>
      <c r="E352" s="4"/>
      <c r="F352" s="4"/>
      <c r="I352" s="204" t="s">
        <v>885</v>
      </c>
      <c r="P352" s="1539"/>
      <c r="Q352" s="1539"/>
      <c r="R352" s="1539"/>
      <c r="S352" s="1539"/>
      <c r="T352" s="1539"/>
      <c r="U352" s="1539"/>
      <c r="V352" s="1539"/>
      <c r="W352" s="1539"/>
      <c r="X352" s="1539"/>
      <c r="Y352" s="1539"/>
      <c r="Z352" s="1539"/>
      <c r="AA352" s="1539"/>
      <c r="AB352" s="1539"/>
      <c r="AC352" s="1539"/>
      <c r="AD352" s="1539"/>
      <c r="AE352" s="1539"/>
      <c r="BN352" t="s">
        <v>667</v>
      </c>
    </row>
    <row r="353" spans="1:66" ht="12.9" customHeight="1">
      <c r="B353" s="4"/>
      <c r="C353" s="4"/>
      <c r="D353" s="4"/>
      <c r="E353" s="4"/>
      <c r="F353" s="4"/>
      <c r="I353" s="4" t="s">
        <v>469</v>
      </c>
      <c r="P353" s="1516"/>
      <c r="Q353" s="1516"/>
      <c r="R353" s="1516"/>
      <c r="S353" s="1516"/>
      <c r="T353" s="1516"/>
      <c r="U353" s="1516"/>
      <c r="V353" s="1516"/>
      <c r="W353" s="1516"/>
      <c r="X353" s="1516"/>
      <c r="Y353" s="1516"/>
      <c r="Z353" s="1516"/>
      <c r="AA353" s="1516"/>
      <c r="AB353" s="1516"/>
      <c r="AC353" s="1516"/>
      <c r="AD353" s="1516"/>
      <c r="AE353" s="1516"/>
      <c r="BN353" t="s">
        <v>543</v>
      </c>
    </row>
    <row r="354" spans="1:66" ht="12.9" customHeight="1">
      <c r="B354" s="4"/>
      <c r="C354" s="4"/>
      <c r="D354" s="4"/>
      <c r="E354" s="4"/>
      <c r="F354" s="4"/>
      <c r="I354" s="4" t="s">
        <v>75</v>
      </c>
      <c r="P354" s="1516"/>
      <c r="Q354" s="1516"/>
      <c r="R354" s="1516"/>
      <c r="S354" s="1516"/>
      <c r="T354" s="1516"/>
      <c r="U354" s="1516"/>
      <c r="V354" s="1516"/>
      <c r="W354" s="1516"/>
      <c r="X354" s="1516"/>
      <c r="Y354" s="1516"/>
      <c r="Z354" s="1516"/>
      <c r="AA354" s="1516"/>
      <c r="AB354" s="1516"/>
      <c r="AC354" s="1516"/>
      <c r="AD354" s="1516"/>
      <c r="AE354" s="1516"/>
    </row>
    <row r="355" spans="1:66" ht="12.9" customHeight="1">
      <c r="B355" s="4"/>
      <c r="C355" s="4"/>
      <c r="D355" s="4"/>
      <c r="E355" s="4"/>
      <c r="F355" s="4"/>
      <c r="G355" s="4"/>
      <c r="I355" s="4" t="s">
        <v>87</v>
      </c>
      <c r="P355" s="1516"/>
      <c r="Q355" s="1516"/>
      <c r="R355" s="1516"/>
      <c r="S355" s="1516"/>
      <c r="T355" s="1516"/>
      <c r="U355" s="1516"/>
      <c r="V355" s="1516"/>
      <c r="W355" s="1516"/>
      <c r="X355" s="1516"/>
      <c r="Y355" s="1516"/>
      <c r="Z355" s="1516"/>
      <c r="AA355" s="1516"/>
      <c r="AB355" s="1516"/>
      <c r="AC355" s="1516"/>
      <c r="AD355" s="1516"/>
      <c r="AE355" s="1516"/>
    </row>
    <row r="356" spans="1:66" ht="12.9" customHeight="1">
      <c r="B356" s="4"/>
      <c r="C356" s="4"/>
      <c r="D356" s="4"/>
      <c r="E356" s="4"/>
      <c r="F356" s="4"/>
      <c r="G356" s="4"/>
      <c r="H356" s="302"/>
      <c r="I356" s="4" t="s">
        <v>88</v>
      </c>
      <c r="P356" s="1517"/>
      <c r="Q356" s="1517"/>
      <c r="R356" s="1517"/>
      <c r="S356" s="1517"/>
      <c r="T356" s="1517"/>
      <c r="U356" s="1517"/>
      <c r="V356" s="1517"/>
      <c r="W356" s="1517"/>
      <c r="X356" s="1517"/>
      <c r="Y356" s="1517"/>
      <c r="Z356" s="1517"/>
      <c r="AA356" s="4" t="s">
        <v>206</v>
      </c>
      <c r="AB356" s="4"/>
      <c r="AC356" s="1543"/>
      <c r="AD356" s="1543"/>
      <c r="AE356" s="1543"/>
      <c r="AF356" s="302"/>
      <c r="AG356" s="4"/>
      <c r="AH356" s="4"/>
      <c r="AI356" s="4"/>
      <c r="AJ356" s="4"/>
      <c r="AK356" s="4"/>
    </row>
    <row r="357" spans="1:66" ht="12.9" customHeight="1">
      <c r="B357" s="4"/>
      <c r="C357" s="4"/>
      <c r="D357" s="4"/>
      <c r="E357" s="4"/>
      <c r="F357" s="4"/>
      <c r="G357" s="4"/>
      <c r="H357" s="302"/>
      <c r="I357" s="4" t="s">
        <v>89</v>
      </c>
      <c r="P357" s="1517"/>
      <c r="Q357" s="1517"/>
      <c r="R357" s="1517"/>
      <c r="S357" s="1517"/>
      <c r="T357" s="1517"/>
      <c r="U357" s="1517"/>
      <c r="V357" s="1517"/>
      <c r="W357" s="1517"/>
      <c r="X357" s="1517"/>
      <c r="Y357" s="1517"/>
      <c r="Z357" s="1517"/>
      <c r="AF357" s="302"/>
      <c r="AG357" s="4"/>
      <c r="AH357" s="4"/>
      <c r="AI357" s="35"/>
      <c r="AJ357" s="35"/>
      <c r="AK357" s="35"/>
    </row>
    <row r="358" spans="1:66" ht="12.9" customHeight="1">
      <c r="B358" s="4"/>
      <c r="C358" s="4"/>
      <c r="D358" s="4"/>
      <c r="E358" s="4"/>
      <c r="F358" s="4"/>
      <c r="G358" s="4"/>
      <c r="I358" s="4" t="s">
        <v>76</v>
      </c>
      <c r="P358" s="1539"/>
      <c r="Q358" s="1539"/>
      <c r="R358" s="1539"/>
      <c r="S358" s="1539"/>
      <c r="T358" s="1539"/>
      <c r="U358" s="1539"/>
      <c r="V358" s="1539"/>
      <c r="W358" s="1539"/>
      <c r="X358" s="1539"/>
      <c r="Y358" s="1539"/>
      <c r="Z358" s="1539"/>
      <c r="AA358" s="1539"/>
      <c r="AB358" s="1539"/>
      <c r="AC358" s="1539"/>
      <c r="AD358" s="1539"/>
      <c r="AE358" s="1539"/>
    </row>
    <row r="359" spans="1:66" ht="12.9" customHeight="1">
      <c r="T359" s="8"/>
      <c r="U359" s="8"/>
      <c r="V359" s="8"/>
      <c r="W359" s="8"/>
      <c r="X359" s="8"/>
      <c r="Y359" s="8"/>
      <c r="Z359" s="8"/>
      <c r="AU359" s="95"/>
      <c r="AV359" s="95"/>
      <c r="AW359" s="95"/>
      <c r="AX359" s="95"/>
      <c r="AY359" s="95"/>
    </row>
    <row r="360" spans="1:66" ht="12.9" customHeight="1">
      <c r="A360" s="1575" t="s">
        <v>540</v>
      </c>
      <c r="B360" s="1575"/>
      <c r="C360" s="1575"/>
      <c r="D360" s="1575"/>
      <c r="E360" s="1575"/>
      <c r="F360" s="1575"/>
      <c r="G360" s="1575"/>
      <c r="H360" s="1575"/>
      <c r="I360" s="1575"/>
      <c r="J360" s="1575"/>
      <c r="K360" s="1575"/>
      <c r="L360" s="1575"/>
      <c r="M360" s="1575"/>
      <c r="N360" s="1575"/>
      <c r="O360" s="1575"/>
      <c r="P360" s="1575"/>
      <c r="Q360" s="1575"/>
      <c r="R360" s="1575"/>
      <c r="S360" s="1575"/>
      <c r="T360" s="1575"/>
      <c r="U360" s="1575"/>
      <c r="V360" s="1575"/>
      <c r="W360" s="1575"/>
      <c r="X360" s="1575"/>
      <c r="Y360" s="1575"/>
      <c r="Z360" s="1575"/>
      <c r="AA360" s="1575"/>
      <c r="AB360" s="1575"/>
      <c r="AC360" s="1575"/>
      <c r="AD360" s="1575"/>
      <c r="AE360" s="1575"/>
      <c r="AF360" s="1575"/>
      <c r="AG360" s="1575"/>
      <c r="AH360" s="1575"/>
      <c r="AI360" s="1575"/>
      <c r="AJ360" s="1575"/>
      <c r="AK360" s="1575"/>
      <c r="AL360" s="1575"/>
      <c r="AM360" s="1575"/>
      <c r="AN360" s="1575"/>
      <c r="AO360" s="1575"/>
      <c r="AP360" s="1575"/>
      <c r="AQ360" s="1575"/>
      <c r="AR360" s="1575"/>
      <c r="AS360" s="1575"/>
      <c r="AT360" s="1575"/>
      <c r="AU360" s="95"/>
      <c r="AV360" s="95"/>
      <c r="AW360" s="95"/>
      <c r="AX360" s="95"/>
      <c r="AY360" s="95"/>
    </row>
    <row r="361" spans="1:66" ht="12.9" customHeight="1">
      <c r="A361" s="1575"/>
      <c r="B361" s="1575"/>
      <c r="C361" s="1575"/>
      <c r="D361" s="1575"/>
      <c r="E361" s="1575"/>
      <c r="F361" s="1575"/>
      <c r="G361" s="1575"/>
      <c r="H361" s="1575"/>
      <c r="I361" s="1575"/>
      <c r="J361" s="1575"/>
      <c r="K361" s="1575"/>
      <c r="L361" s="1575"/>
      <c r="M361" s="1575"/>
      <c r="N361" s="1575"/>
      <c r="O361" s="1575"/>
      <c r="P361" s="1575"/>
      <c r="Q361" s="1575"/>
      <c r="R361" s="1575"/>
      <c r="S361" s="1575"/>
      <c r="T361" s="1575"/>
      <c r="U361" s="1575"/>
      <c r="V361" s="1575"/>
      <c r="W361" s="1575"/>
      <c r="X361" s="1575"/>
      <c r="Y361" s="1575"/>
      <c r="Z361" s="1575"/>
      <c r="AA361" s="1575"/>
      <c r="AB361" s="1575"/>
      <c r="AC361" s="1575"/>
      <c r="AD361" s="1575"/>
      <c r="AE361" s="1575"/>
      <c r="AF361" s="1575"/>
      <c r="AG361" s="1575"/>
      <c r="AH361" s="1575"/>
      <c r="AI361" s="1575"/>
      <c r="AJ361" s="1575"/>
      <c r="AK361" s="1575"/>
      <c r="AL361" s="1575"/>
      <c r="AM361" s="1575"/>
      <c r="AN361" s="1575"/>
      <c r="AO361" s="1575"/>
      <c r="AP361" s="1575"/>
      <c r="AQ361" s="1575"/>
      <c r="AR361" s="1575"/>
      <c r="AS361" s="1575"/>
      <c r="AT361" s="1575"/>
      <c r="AU361" s="25"/>
      <c r="AV361" s="25"/>
      <c r="AW361" s="25"/>
      <c r="AX361" s="25"/>
      <c r="AY361" s="25"/>
    </row>
    <row r="362" spans="1:66" ht="12.9"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 customHeight="1">
      <c r="A363" s="2" t="s">
        <v>319</v>
      </c>
      <c r="B363" s="2"/>
      <c r="C363" s="2" t="s">
        <v>780</v>
      </c>
    </row>
    <row r="364" spans="1:66" ht="12.9" customHeight="1">
      <c r="D364" s="3" t="s">
        <v>2046</v>
      </c>
      <c r="M364" s="1424" t="s">
        <v>543</v>
      </c>
      <c r="N364" s="1424"/>
      <c r="P364" t="s">
        <v>1636</v>
      </c>
      <c r="AJ364" s="1424" t="s">
        <v>543</v>
      </c>
      <c r="AK364" s="1424"/>
    </row>
    <row r="365" spans="1:66" ht="12.9" customHeight="1">
      <c r="D365" s="3" t="s">
        <v>1625</v>
      </c>
      <c r="M365" s="1424" t="s">
        <v>589</v>
      </c>
      <c r="N365" s="1424"/>
      <c r="P365" s="3" t="s">
        <v>1705</v>
      </c>
      <c r="AJ365" s="1583">
        <v>0</v>
      </c>
      <c r="AK365" s="1583"/>
    </row>
    <row r="366" spans="1:66" ht="12.9" customHeight="1">
      <c r="D366" s="3" t="s">
        <v>702</v>
      </c>
      <c r="M366" s="1424" t="s">
        <v>589</v>
      </c>
      <c r="N366" s="1424"/>
      <c r="P366" t="s">
        <v>1635</v>
      </c>
      <c r="AJ366" s="1424" t="s">
        <v>589</v>
      </c>
      <c r="AK366" s="1424"/>
    </row>
    <row r="367" spans="1:66" ht="12.9" customHeight="1">
      <c r="D367" s="3" t="s">
        <v>703</v>
      </c>
      <c r="M367" s="1424" t="s">
        <v>589</v>
      </c>
      <c r="N367" s="1424"/>
      <c r="Q367" s="4"/>
    </row>
    <row r="368" spans="1:66" ht="12.9" customHeight="1">
      <c r="Q368" s="4"/>
    </row>
    <row r="369" spans="1:34" ht="12.9" customHeight="1">
      <c r="Q369" s="4"/>
    </row>
    <row r="370" spans="1:34" ht="12.9" customHeight="1">
      <c r="A370" s="2" t="s">
        <v>574</v>
      </c>
      <c r="B370" s="2"/>
      <c r="C370" s="2" t="s">
        <v>550</v>
      </c>
      <c r="D370" s="2"/>
    </row>
    <row r="371" spans="1:34" ht="12.9"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 customHeight="1">
      <c r="D372" s="39" t="s">
        <v>186</v>
      </c>
      <c r="E372" s="40"/>
      <c r="F372" s="40"/>
      <c r="G372" s="40"/>
      <c r="H372" s="40"/>
      <c r="I372" s="40"/>
      <c r="J372" s="40"/>
      <c r="K372" s="40"/>
      <c r="L372" s="40"/>
      <c r="M372" s="40"/>
      <c r="N372" s="1424" t="s">
        <v>589</v>
      </c>
      <c r="O372" s="1424"/>
      <c r="P372" s="40"/>
      <c r="Q372" s="40"/>
      <c r="R372" s="40"/>
      <c r="S372" s="40"/>
      <c r="T372" s="40"/>
      <c r="U372" s="40"/>
      <c r="V372" s="40"/>
      <c r="W372" s="40"/>
      <c r="X372" s="40"/>
      <c r="Y372" s="40"/>
      <c r="Z372" s="40"/>
      <c r="AC372" s="40"/>
      <c r="AD372" s="40"/>
      <c r="AE372" s="40"/>
    </row>
    <row r="373" spans="1:34" ht="12.9" customHeight="1">
      <c r="E373" t="s">
        <v>370</v>
      </c>
      <c r="Y373" s="1424" t="s">
        <v>589</v>
      </c>
      <c r="Z373" s="1424"/>
    </row>
    <row r="374" spans="1:34" ht="12.9" customHeight="1">
      <c r="D374" s="4" t="s">
        <v>976</v>
      </c>
      <c r="Q374" s="1539"/>
      <c r="R374" s="1539"/>
      <c r="S374" s="1539"/>
      <c r="T374" s="1539"/>
      <c r="U374" s="1539"/>
      <c r="V374" s="1539"/>
      <c r="W374" s="1539"/>
      <c r="X374" s="1539"/>
      <c r="Y374" s="1539"/>
      <c r="Z374" s="1539"/>
      <c r="AA374" s="1539"/>
      <c r="AB374" s="1539"/>
      <c r="AC374" s="1539"/>
      <c r="AD374" s="1539"/>
      <c r="AE374" s="1539"/>
      <c r="AF374" s="1539"/>
      <c r="AG374" s="1539"/>
    </row>
    <row r="375" spans="1:34" ht="12.9"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 customHeight="1">
      <c r="D376" t="s">
        <v>188</v>
      </c>
      <c r="E376" s="40"/>
      <c r="F376" s="40"/>
      <c r="G376" s="40"/>
      <c r="H376" s="40"/>
      <c r="I376" s="40"/>
      <c r="J376" s="1424" t="s">
        <v>589</v>
      </c>
      <c r="K376" s="1424"/>
      <c r="L376" s="40"/>
      <c r="M376" s="40"/>
      <c r="N376" s="40"/>
      <c r="O376" s="40"/>
      <c r="P376" s="40"/>
      <c r="Q376" s="40"/>
      <c r="R376" s="40"/>
      <c r="S376" s="40"/>
      <c r="T376" s="40"/>
      <c r="U376" s="40"/>
      <c r="V376" s="40"/>
      <c r="W376" s="40"/>
      <c r="X376" s="40"/>
      <c r="Y376" s="40"/>
      <c r="Z376" s="40"/>
      <c r="AC376" s="40"/>
      <c r="AD376" s="40"/>
      <c r="AE376" s="40"/>
    </row>
    <row r="377" spans="1:34" ht="12.9" customHeight="1">
      <c r="E377" s="1569" t="s">
        <v>704</v>
      </c>
      <c r="F377" s="1569"/>
      <c r="G377" s="1569"/>
      <c r="H377" s="1569"/>
      <c r="I377" s="1569"/>
      <c r="J377" s="1569"/>
      <c r="K377" s="1569"/>
      <c r="L377" s="1569"/>
      <c r="M377" s="1569"/>
      <c r="N377" s="1569"/>
      <c r="O377" s="1569"/>
      <c r="P377" s="1569"/>
      <c r="Q377" s="1569"/>
      <c r="R377" s="1569"/>
      <c r="S377" s="1569"/>
      <c r="T377" s="1569"/>
      <c r="U377" s="1569"/>
      <c r="V377" s="1569"/>
      <c r="W377" s="1569"/>
      <c r="X377" s="1569"/>
      <c r="Y377" s="1569"/>
      <c r="Z377" s="1569"/>
      <c r="AA377" s="1569"/>
      <c r="AB377" s="1569"/>
      <c r="AC377" s="1569"/>
      <c r="AD377" s="1569"/>
      <c r="AE377" s="1569"/>
      <c r="AF377" s="1569"/>
      <c r="AG377" s="1569"/>
      <c r="AH377" s="1569"/>
    </row>
    <row r="378" spans="1:34" ht="12.9" customHeight="1">
      <c r="E378" s="1569"/>
      <c r="F378" s="1569"/>
      <c r="G378" s="1569"/>
      <c r="H378" s="1569"/>
      <c r="I378" s="1569"/>
      <c r="J378" s="1569"/>
      <c r="K378" s="1569"/>
      <c r="L378" s="1569"/>
      <c r="M378" s="1569"/>
      <c r="N378" s="1569"/>
      <c r="O378" s="1569"/>
      <c r="P378" s="1569"/>
      <c r="Q378" s="1569"/>
      <c r="R378" s="1569"/>
      <c r="S378" s="1569"/>
      <c r="T378" s="1569"/>
      <c r="U378" s="1569"/>
      <c r="V378" s="1569"/>
      <c r="W378" s="1569"/>
      <c r="X378" s="1569"/>
      <c r="Y378" s="1569"/>
      <c r="Z378" s="1569"/>
      <c r="AA378" s="1569"/>
      <c r="AB378" s="1569"/>
      <c r="AC378" s="1569"/>
      <c r="AD378" s="1569"/>
      <c r="AE378" s="1569"/>
      <c r="AF378" s="1569"/>
      <c r="AG378" s="1569"/>
      <c r="AH378" s="1569"/>
    </row>
    <row r="379" spans="1:34" ht="12.9" customHeight="1">
      <c r="E379" s="4" t="s">
        <v>446</v>
      </c>
      <c r="F379" s="4"/>
      <c r="G379" s="4"/>
      <c r="H379" s="4"/>
      <c r="I379" s="4"/>
      <c r="J379" s="4"/>
      <c r="K379" s="4"/>
      <c r="L379" s="4"/>
      <c r="N379" s="1510"/>
      <c r="O379" s="1510"/>
      <c r="P379" s="1510"/>
      <c r="Q379" s="1510"/>
      <c r="R379" s="4"/>
      <c r="U379" s="4" t="s">
        <v>447</v>
      </c>
      <c r="V379" s="4"/>
      <c r="W379" s="4"/>
      <c r="X379" s="4"/>
      <c r="Y379" s="4"/>
      <c r="Z379" s="4"/>
      <c r="AA379" s="4"/>
      <c r="AB379" s="4"/>
      <c r="AC379" s="1510"/>
      <c r="AD379" s="1510"/>
      <c r="AE379" s="1510"/>
      <c r="AF379" s="1510"/>
    </row>
    <row r="380" spans="1:34" ht="12.9" customHeight="1">
      <c r="E380" s="4" t="s">
        <v>448</v>
      </c>
      <c r="F380" s="4"/>
      <c r="G380" s="4"/>
      <c r="H380" s="4"/>
      <c r="I380" s="4"/>
      <c r="J380" s="4"/>
      <c r="K380" s="4"/>
      <c r="L380" s="4"/>
      <c r="N380" s="1510"/>
      <c r="O380" s="1510"/>
      <c r="P380" s="1510"/>
      <c r="Q380" s="1510"/>
      <c r="R380" s="4"/>
      <c r="U380" s="4" t="s">
        <v>0</v>
      </c>
      <c r="V380" s="4"/>
      <c r="W380" s="4"/>
      <c r="X380" s="4"/>
      <c r="Y380" s="4"/>
      <c r="Z380" s="4"/>
      <c r="AA380" s="4"/>
      <c r="AB380" s="4"/>
      <c r="AC380" s="1510"/>
      <c r="AD380" s="1510"/>
      <c r="AE380" s="1510"/>
      <c r="AF380" s="1510"/>
    </row>
    <row r="381" spans="1:34" ht="12.9" customHeight="1">
      <c r="E381" s="4" t="s">
        <v>1</v>
      </c>
      <c r="F381" s="4"/>
      <c r="G381" s="4"/>
      <c r="H381" s="4"/>
      <c r="I381" s="4"/>
      <c r="J381" s="4"/>
      <c r="K381" s="4"/>
      <c r="L381" s="4"/>
      <c r="N381" s="1510"/>
      <c r="O381" s="1510"/>
      <c r="P381" s="1510"/>
      <c r="Q381" s="1510"/>
      <c r="R381" s="4"/>
      <c r="V381" s="4"/>
      <c r="W381" s="4"/>
      <c r="X381" s="4"/>
      <c r="Y381" s="4"/>
      <c r="Z381" s="4"/>
      <c r="AA381" s="4"/>
      <c r="AB381" s="4"/>
    </row>
    <row r="382" spans="1:34" ht="12.9" customHeight="1">
      <c r="E382" s="4" t="s">
        <v>2</v>
      </c>
      <c r="F382" s="4"/>
      <c r="G382" s="4"/>
      <c r="H382" s="4"/>
      <c r="I382" s="4"/>
      <c r="J382" s="4"/>
      <c r="K382" s="4"/>
      <c r="L382" s="4"/>
      <c r="N382" s="1899"/>
      <c r="O382" s="1899"/>
      <c r="P382" s="1899"/>
      <c r="Q382" s="1899"/>
      <c r="R382" s="1899"/>
      <c r="S382" s="1899"/>
      <c r="T382" s="1899"/>
      <c r="U382" s="1899"/>
      <c r="V382" s="1899"/>
      <c r="W382" s="1899"/>
      <c r="X382" s="1899"/>
      <c r="Y382" s="1899"/>
      <c r="Z382" s="1899"/>
      <c r="AA382" s="1899"/>
      <c r="AB382" s="1899"/>
      <c r="AC382" s="1899"/>
      <c r="AD382" s="1899"/>
      <c r="AE382" s="1899"/>
      <c r="AF382" s="1899"/>
    </row>
    <row r="383" spans="1:34" ht="12.9" customHeight="1">
      <c r="E383" s="4"/>
      <c r="F383" s="4"/>
      <c r="G383" s="4"/>
      <c r="H383" s="4"/>
      <c r="I383" s="4"/>
      <c r="J383" s="4"/>
      <c r="K383" s="4"/>
      <c r="L383" s="4"/>
      <c r="N383" s="1900"/>
      <c r="O383" s="1900"/>
      <c r="P383" s="1900"/>
      <c r="Q383" s="1900"/>
      <c r="R383" s="1900"/>
      <c r="S383" s="1900"/>
      <c r="T383" s="1900"/>
      <c r="U383" s="1900"/>
      <c r="V383" s="1900"/>
      <c r="W383" s="1900"/>
      <c r="X383" s="1900"/>
      <c r="Y383" s="1900"/>
      <c r="Z383" s="1900"/>
      <c r="AA383" s="1900"/>
      <c r="AB383" s="1900"/>
      <c r="AC383" s="1900"/>
      <c r="AD383" s="1900"/>
      <c r="AE383" s="1900"/>
      <c r="AF383" s="1900"/>
    </row>
    <row r="384" spans="1:34" ht="12.9" customHeight="1">
      <c r="C384" s="508"/>
      <c r="E384" s="4"/>
      <c r="F384" s="4"/>
      <c r="G384" s="4"/>
      <c r="H384" s="4"/>
      <c r="I384" s="4"/>
      <c r="J384" s="4"/>
      <c r="K384" s="4"/>
      <c r="L384" s="4"/>
    </row>
    <row r="385" spans="1:36" ht="12.9" customHeight="1">
      <c r="D385" s="2" t="s">
        <v>973</v>
      </c>
      <c r="E385" s="2"/>
      <c r="F385" s="4"/>
      <c r="G385" s="4"/>
      <c r="H385" s="4"/>
      <c r="I385" s="4"/>
      <c r="J385" s="4"/>
      <c r="K385" s="4"/>
      <c r="L385" s="4"/>
    </row>
    <row r="386" spans="1:36" ht="12.9" customHeight="1">
      <c r="E386" s="4" t="s">
        <v>2032</v>
      </c>
      <c r="F386" s="4"/>
      <c r="G386" s="4"/>
      <c r="H386" s="4"/>
      <c r="I386" s="4"/>
      <c r="J386" s="4"/>
      <c r="K386" s="4"/>
      <c r="L386" s="4"/>
      <c r="N386" t="s">
        <v>2028</v>
      </c>
      <c r="R386" s="27" t="s">
        <v>305</v>
      </c>
      <c r="S386" s="1839"/>
      <c r="T386" s="1839"/>
      <c r="U386" s="1" t="s">
        <v>306</v>
      </c>
      <c r="V386" s="1839"/>
      <c r="W386" s="1839"/>
      <c r="Y386" t="s">
        <v>2028</v>
      </c>
      <c r="AC386" s="27" t="s">
        <v>305</v>
      </c>
      <c r="AD386" s="1839"/>
      <c r="AE386" s="1839"/>
      <c r="AF386" s="1" t="s">
        <v>306</v>
      </c>
      <c r="AG386" s="1839"/>
      <c r="AH386" s="1839"/>
    </row>
    <row r="387" spans="1:36" ht="12.9" customHeight="1">
      <c r="E387" s="4" t="s">
        <v>985</v>
      </c>
      <c r="F387" s="4"/>
      <c r="G387" s="4"/>
      <c r="H387" s="4"/>
      <c r="I387" s="4"/>
      <c r="J387" s="4"/>
      <c r="K387" s="4"/>
      <c r="L387" s="4"/>
      <c r="N387" s="1839"/>
      <c r="O387" s="1839"/>
      <c r="P387" s="1839"/>
    </row>
    <row r="388" spans="1:36" ht="12.9" customHeight="1">
      <c r="E388" s="204" t="s">
        <v>2033</v>
      </c>
      <c r="F388" s="4"/>
      <c r="G388" s="4"/>
      <c r="H388" s="4"/>
      <c r="I388" s="4"/>
      <c r="J388" s="4"/>
      <c r="K388" s="4"/>
      <c r="L388" s="4"/>
      <c r="AG388" s="1893" t="s">
        <v>589</v>
      </c>
      <c r="AH388" s="1893"/>
    </row>
    <row r="389" spans="1:36" ht="12.9" customHeight="1">
      <c r="E389" s="4"/>
      <c r="F389" s="4"/>
      <c r="G389" s="4" t="s">
        <v>2034</v>
      </c>
      <c r="H389" s="4"/>
      <c r="I389" s="4"/>
      <c r="J389" s="4"/>
      <c r="K389" s="4"/>
      <c r="L389" s="4"/>
      <c r="AG389" s="1893" t="s">
        <v>589</v>
      </c>
      <c r="AH389" s="1893"/>
    </row>
    <row r="390" spans="1:36" ht="12.9" customHeight="1">
      <c r="E390" s="4"/>
      <c r="F390" s="4"/>
      <c r="G390" s="317" t="s">
        <v>986</v>
      </c>
      <c r="H390" s="4"/>
      <c r="I390" s="4"/>
      <c r="J390" s="4"/>
      <c r="K390" s="4"/>
      <c r="L390" s="4"/>
      <c r="V390" s="1424" t="s">
        <v>589</v>
      </c>
      <c r="W390" s="1424"/>
      <c r="Y390" s="22" t="s">
        <v>978</v>
      </c>
    </row>
    <row r="391" spans="1:36" ht="12.9" customHeight="1">
      <c r="E391" s="4" t="s">
        <v>979</v>
      </c>
      <c r="F391" s="4"/>
      <c r="G391" s="4"/>
      <c r="H391" s="4"/>
      <c r="I391" s="4"/>
      <c r="J391" s="4"/>
      <c r="K391" s="4"/>
      <c r="L391" s="4"/>
      <c r="V391" s="1424" t="s">
        <v>589</v>
      </c>
      <c r="W391" s="1424"/>
      <c r="Y391" s="4" t="s">
        <v>980</v>
      </c>
    </row>
    <row r="392" spans="1:36" ht="12.9" customHeight="1"/>
    <row r="393" spans="1:36" ht="12.9" customHeight="1">
      <c r="A393" s="2" t="s">
        <v>78</v>
      </c>
      <c r="B393" s="2"/>
    </row>
    <row r="394" spans="1:36" ht="12.9" customHeight="1">
      <c r="D394" t="s">
        <v>427</v>
      </c>
      <c r="J394" s="1539" t="s">
        <v>2758</v>
      </c>
      <c r="K394" s="1539"/>
      <c r="L394" s="1539"/>
      <c r="M394" s="1539"/>
      <c r="N394" s="1539"/>
      <c r="O394" s="1539"/>
      <c r="P394" s="1539"/>
      <c r="Q394" s="1539"/>
      <c r="R394" s="1539"/>
      <c r="S394" s="1539"/>
      <c r="T394" s="1539"/>
      <c r="U394" s="1539"/>
      <c r="V394" s="8" t="s">
        <v>83</v>
      </c>
      <c r="W394" s="8"/>
      <c r="X394" s="8"/>
      <c r="Y394" s="8"/>
      <c r="Z394" s="8"/>
      <c r="AA394" s="8"/>
      <c r="AB394" s="8"/>
      <c r="AC394" s="1539" t="s">
        <v>2757</v>
      </c>
      <c r="AD394" s="1539"/>
      <c r="AE394" s="1539"/>
      <c r="AF394" s="1539"/>
      <c r="AG394" s="1539"/>
      <c r="AH394" s="1539"/>
      <c r="AI394" s="1539"/>
      <c r="AJ394" s="1539"/>
    </row>
    <row r="395" spans="1:36" ht="12.9" customHeight="1">
      <c r="D395" s="3" t="s">
        <v>1179</v>
      </c>
      <c r="J395" s="1516" t="s">
        <v>2757</v>
      </c>
      <c r="K395" s="1516"/>
      <c r="L395" s="1516"/>
      <c r="M395" s="1516"/>
      <c r="N395" s="1516"/>
      <c r="O395" s="1516"/>
      <c r="P395" s="1516"/>
      <c r="Q395" s="1516"/>
      <c r="R395" s="1516"/>
      <c r="S395" s="1516"/>
      <c r="T395" s="1516"/>
      <c r="U395" s="1516"/>
      <c r="V395" s="3" t="s">
        <v>1179</v>
      </c>
      <c r="W395" s="8"/>
      <c r="X395" s="8"/>
      <c r="Y395" s="8"/>
      <c r="Z395" s="8"/>
      <c r="AA395" s="8"/>
      <c r="AB395" s="8"/>
      <c r="AC395" s="1539" t="s">
        <v>2757</v>
      </c>
      <c r="AD395" s="1539"/>
      <c r="AE395" s="1539"/>
      <c r="AF395" s="1539"/>
      <c r="AG395" s="1539"/>
      <c r="AH395" s="1539"/>
      <c r="AI395" s="1539"/>
      <c r="AJ395" s="1539"/>
    </row>
    <row r="396" spans="1:36" ht="12.9" customHeight="1">
      <c r="D396" s="3" t="s">
        <v>439</v>
      </c>
      <c r="J396" s="1516" t="s">
        <v>2760</v>
      </c>
      <c r="K396" s="1516"/>
      <c r="L396" s="1516"/>
      <c r="M396" s="1516"/>
      <c r="N396" s="1516"/>
      <c r="O396" s="1516"/>
      <c r="P396" s="1516"/>
      <c r="Q396" s="1516"/>
      <c r="R396" s="1516"/>
      <c r="S396" s="1516"/>
      <c r="T396" s="1516"/>
      <c r="U396" s="1516"/>
      <c r="V396" s="3" t="s">
        <v>439</v>
      </c>
      <c r="W396" s="8"/>
      <c r="X396" s="8"/>
      <c r="Y396" s="8"/>
      <c r="Z396" s="8"/>
      <c r="AA396" s="8"/>
      <c r="AB396" s="8"/>
      <c r="AC396" s="1539" t="s">
        <v>2760</v>
      </c>
      <c r="AD396" s="1539"/>
      <c r="AE396" s="1539"/>
      <c r="AF396" s="1539"/>
      <c r="AG396" s="1539"/>
      <c r="AH396" s="1539"/>
      <c r="AI396" s="1539"/>
      <c r="AJ396" s="1539"/>
    </row>
    <row r="397" spans="1:36" ht="12.9" customHeight="1">
      <c r="D397" t="s">
        <v>1175</v>
      </c>
      <c r="J397" s="1461" t="s">
        <v>2759</v>
      </c>
      <c r="K397" s="1461"/>
      <c r="L397" s="1461"/>
      <c r="M397" s="1461"/>
      <c r="N397" s="1461"/>
      <c r="O397" s="1461"/>
      <c r="P397" s="1461"/>
      <c r="Q397" s="1461"/>
      <c r="R397" s="1461"/>
      <c r="S397" s="1461"/>
      <c r="T397" s="1461"/>
      <c r="U397" s="1461"/>
      <c r="V397" s="1539"/>
      <c r="W397" s="1539"/>
      <c r="X397" s="1539"/>
      <c r="Y397" s="1539"/>
      <c r="Z397" s="1539"/>
      <c r="AA397" s="1539"/>
      <c r="AB397" s="1539"/>
      <c r="AC397" s="1539"/>
      <c r="AD397" s="1539"/>
      <c r="AE397" s="1539"/>
      <c r="AF397" s="1539"/>
      <c r="AG397" s="1539"/>
      <c r="AH397" s="1539"/>
      <c r="AI397" s="1539"/>
      <c r="AJ397" s="1539"/>
    </row>
    <row r="398" spans="1:36" ht="12.9" customHeight="1">
      <c r="D398" t="s">
        <v>4</v>
      </c>
      <c r="Q398" s="1593">
        <v>46251</v>
      </c>
      <c r="R398" s="1593"/>
      <c r="S398" s="1593"/>
      <c r="T398" s="1593"/>
      <c r="U398" s="1593"/>
      <c r="V398" t="s">
        <v>309</v>
      </c>
      <c r="AI398" s="1424" t="s">
        <v>543</v>
      </c>
      <c r="AJ398" s="1424"/>
    </row>
    <row r="399" spans="1:36" ht="12.9" customHeight="1">
      <c r="D399" t="s">
        <v>5</v>
      </c>
      <c r="Q399" s="1684">
        <v>46616</v>
      </c>
      <c r="R399" s="1912"/>
      <c r="S399" s="1912"/>
      <c r="T399" s="1912"/>
      <c r="U399" s="1912"/>
      <c r="W399" s="21" t="s">
        <v>74</v>
      </c>
      <c r="AG399" s="1842"/>
      <c r="AH399" s="1842"/>
      <c r="AI399" s="1842"/>
      <c r="AJ399" s="1842"/>
    </row>
    <row r="400" spans="1:36" ht="12.9" customHeight="1">
      <c r="D400" t="s">
        <v>426</v>
      </c>
      <c r="Q400" s="1907">
        <v>2900000</v>
      </c>
      <c r="R400" s="1907"/>
      <c r="S400" s="1907"/>
      <c r="T400" s="1907"/>
      <c r="U400" s="1907"/>
      <c r="V400" s="3" t="s">
        <v>1178</v>
      </c>
      <c r="AG400" s="1909">
        <v>46539</v>
      </c>
      <c r="AH400" s="1909"/>
      <c r="AI400" s="1909"/>
      <c r="AJ400" s="1909"/>
    </row>
    <row r="401" spans="4:36" ht="12.9" customHeight="1">
      <c r="D401" t="s">
        <v>88</v>
      </c>
      <c r="I401" s="1576"/>
      <c r="J401" s="1576"/>
      <c r="K401" s="1576"/>
      <c r="L401" s="1576"/>
      <c r="M401" s="1576"/>
      <c r="N401" s="1576"/>
      <c r="Q401" s="4" t="s">
        <v>206</v>
      </c>
      <c r="S401" s="1906"/>
      <c r="T401" s="1906"/>
      <c r="U401" s="1906"/>
      <c r="V401" t="s">
        <v>73</v>
      </c>
      <c r="AI401" s="1424" t="s">
        <v>667</v>
      </c>
      <c r="AJ401" s="1424"/>
    </row>
    <row r="402" spans="4:36" ht="12.9" customHeight="1">
      <c r="D402" t="s">
        <v>310</v>
      </c>
      <c r="Q402" s="1489"/>
      <c r="R402" s="1489"/>
      <c r="S402" s="1489"/>
      <c r="T402" s="1489"/>
      <c r="U402" s="1489"/>
      <c r="V402" t="s">
        <v>311</v>
      </c>
      <c r="AG402" s="1842"/>
      <c r="AH402" s="1842"/>
      <c r="AI402" s="1842"/>
      <c r="AJ402" s="1842"/>
    </row>
    <row r="403" spans="4:36" ht="12.9" customHeight="1">
      <c r="D403" t="s">
        <v>312</v>
      </c>
      <c r="Q403" s="1857"/>
      <c r="R403" s="1857"/>
      <c r="S403" s="1857"/>
      <c r="T403" s="1857"/>
      <c r="U403" s="1857"/>
      <c r="V403" t="s">
        <v>1160</v>
      </c>
      <c r="AG403" s="1842"/>
      <c r="AH403" s="1842"/>
      <c r="AI403" s="1842"/>
      <c r="AJ403" s="1842"/>
    </row>
    <row r="404" spans="4:36" ht="12.9" customHeight="1">
      <c r="D404" t="s">
        <v>1159</v>
      </c>
      <c r="AG404" s="1842"/>
      <c r="AH404" s="1842"/>
      <c r="AI404" s="1842"/>
      <c r="AJ404" s="1842"/>
    </row>
    <row r="405" spans="4:36" ht="12.9" customHeight="1">
      <c r="AG405" s="452"/>
      <c r="AH405" s="452"/>
      <c r="AI405" s="452"/>
      <c r="AJ405" s="452"/>
    </row>
    <row r="406" spans="4:36" ht="12.9" customHeight="1">
      <c r="D406" s="3" t="s">
        <v>2090</v>
      </c>
      <c r="AG406" s="452"/>
      <c r="AH406" s="452"/>
      <c r="AI406" s="1424" t="s">
        <v>667</v>
      </c>
      <c r="AJ406" s="1424"/>
    </row>
    <row r="407" spans="4:36" ht="12.9" customHeight="1">
      <c r="D407" s="3" t="s">
        <v>1653</v>
      </c>
      <c r="T407" s="1841"/>
      <c r="U407" s="1841"/>
      <c r="V407" s="1841"/>
      <c r="W407" s="1841"/>
      <c r="X407" s="1841"/>
      <c r="Y407" s="1841"/>
      <c r="Z407" s="1841"/>
      <c r="AA407" s="1841"/>
      <c r="AB407" s="1841"/>
      <c r="AC407" s="1841"/>
      <c r="AD407" s="1841"/>
      <c r="AE407" s="1841"/>
      <c r="AF407" s="1841"/>
      <c r="AG407" s="1841"/>
      <c r="AH407" s="1841"/>
      <c r="AI407" s="1841"/>
      <c r="AJ407" s="1841"/>
    </row>
    <row r="408" spans="4:36" ht="12.9" customHeight="1">
      <c r="D408" s="3" t="s">
        <v>1652</v>
      </c>
      <c r="T408" s="1841"/>
      <c r="U408" s="1841"/>
      <c r="V408" s="1841"/>
      <c r="W408" s="1841"/>
      <c r="X408" s="1841"/>
      <c r="Y408" s="1841"/>
      <c r="Z408" s="1841"/>
      <c r="AA408" s="1841"/>
      <c r="AB408" s="1841"/>
      <c r="AC408" s="1841"/>
      <c r="AD408" s="1841"/>
      <c r="AE408" s="1841"/>
      <c r="AF408" s="1841"/>
      <c r="AG408" s="1841"/>
      <c r="AH408" s="1841"/>
      <c r="AI408" s="1841"/>
      <c r="AJ408" s="1841"/>
    </row>
    <row r="409" spans="4:36" ht="12.9" customHeight="1">
      <c r="AG409" s="452"/>
      <c r="AH409" s="452"/>
      <c r="AI409" s="452"/>
      <c r="AJ409" s="452"/>
    </row>
    <row r="410" spans="4:36" ht="12.9" customHeight="1">
      <c r="D410" s="3" t="s">
        <v>1646</v>
      </c>
      <c r="S410" s="1841" t="s">
        <v>543</v>
      </c>
      <c r="T410" s="1841"/>
      <c r="U410" s="1841"/>
      <c r="V410" t="s">
        <v>1647</v>
      </c>
      <c r="AG410" s="1908">
        <v>99</v>
      </c>
      <c r="AH410" s="1908"/>
      <c r="AI410" s="1908"/>
      <c r="AJ410" s="1908"/>
    </row>
    <row r="411" spans="4:36" ht="12.9" customHeight="1">
      <c r="D411" s="3" t="s">
        <v>1644</v>
      </c>
      <c r="S411" s="1841" t="s">
        <v>543</v>
      </c>
      <c r="T411" s="1841"/>
      <c r="U411" s="1841"/>
      <c r="V411" t="s">
        <v>1649</v>
      </c>
      <c r="AE411" s="1915">
        <v>785342</v>
      </c>
      <c r="AF411" s="1915"/>
      <c r="AG411" s="1915"/>
      <c r="AH411" s="1915"/>
      <c r="AI411" s="1915"/>
      <c r="AJ411" s="1915"/>
    </row>
    <row r="412" spans="4:36" ht="12.9" customHeight="1">
      <c r="D412" s="3" t="s">
        <v>1645</v>
      </c>
      <c r="K412" s="1887"/>
      <c r="L412" s="1887"/>
      <c r="M412" s="1887"/>
      <c r="N412" s="1887"/>
      <c r="O412" s="1887"/>
      <c r="P412" s="1887"/>
      <c r="Q412" s="1887"/>
      <c r="R412" s="1887"/>
      <c r="S412" s="1887"/>
      <c r="T412" s="1887"/>
      <c r="U412" s="1887"/>
      <c r="V412" s="1887"/>
      <c r="W412" s="1887"/>
      <c r="X412" s="1887"/>
      <c r="Y412" s="1887"/>
      <c r="Z412" s="1887"/>
      <c r="AA412" s="1887"/>
      <c r="AB412" s="1887"/>
      <c r="AC412" s="1887"/>
      <c r="AD412" s="1887"/>
      <c r="AE412" s="1887"/>
      <c r="AF412" s="1887"/>
      <c r="AG412" s="1887"/>
      <c r="AH412" s="1887"/>
      <c r="AI412" s="1887"/>
      <c r="AJ412" s="1887"/>
    </row>
    <row r="413" spans="4:36" ht="12.9" customHeight="1">
      <c r="D413" s="3" t="s">
        <v>1648</v>
      </c>
      <c r="K413" s="1887" t="s">
        <v>2781</v>
      </c>
      <c r="L413" s="1887"/>
      <c r="M413" s="1887"/>
      <c r="N413" s="1887"/>
      <c r="O413" s="1887"/>
      <c r="P413" s="1887"/>
      <c r="Q413" s="1887"/>
      <c r="R413" s="1887"/>
      <c r="S413" s="1887"/>
      <c r="T413" s="1887"/>
      <c r="U413" s="1887"/>
      <c r="V413" s="1887"/>
      <c r="W413" s="1887"/>
      <c r="X413" s="1887"/>
      <c r="Y413" s="1887"/>
      <c r="Z413" s="1887"/>
      <c r="AA413" s="1887"/>
      <c r="AB413" s="1887"/>
      <c r="AC413" s="1887"/>
      <c r="AD413" s="1887"/>
      <c r="AE413" s="1887"/>
      <c r="AF413" s="1887"/>
      <c r="AG413" s="1887"/>
      <c r="AH413" s="1887"/>
      <c r="AI413" s="1887"/>
      <c r="AJ413" s="1887"/>
    </row>
    <row r="414" spans="4:36" ht="12.9" customHeight="1">
      <c r="D414" s="3" t="s">
        <v>1651</v>
      </c>
      <c r="E414" s="473"/>
      <c r="F414" s="473"/>
      <c r="G414" s="473"/>
      <c r="H414" s="473"/>
      <c r="I414" s="473"/>
      <c r="J414" s="473"/>
      <c r="K414" s="473"/>
      <c r="L414" s="473"/>
      <c r="M414" s="473"/>
      <c r="N414" s="473"/>
      <c r="O414" s="473"/>
      <c r="P414" s="473"/>
      <c r="Q414" s="473"/>
      <c r="R414" s="473"/>
      <c r="S414" s="1901" t="s">
        <v>2782</v>
      </c>
      <c r="T414" s="1901"/>
      <c r="U414" s="1901"/>
      <c r="V414" s="1901"/>
      <c r="W414" s="1901"/>
      <c r="X414" s="1901"/>
      <c r="Y414" s="1901"/>
      <c r="Z414" s="1901"/>
      <c r="AA414" s="1901"/>
      <c r="AB414" s="1901"/>
      <c r="AC414" s="1901"/>
      <c r="AD414" s="1901"/>
      <c r="AE414" s="1901"/>
      <c r="AF414" s="1901"/>
      <c r="AG414" s="1901"/>
      <c r="AH414" s="1901"/>
      <c r="AI414" s="1901"/>
      <c r="AJ414" s="1901"/>
    </row>
    <row r="415" spans="4:36" ht="12.9" customHeight="1">
      <c r="D415" s="1359" t="s">
        <v>1650</v>
      </c>
      <c r="E415" s="1359"/>
      <c r="F415" s="1359"/>
      <c r="G415" s="1359"/>
      <c r="H415" s="1359"/>
      <c r="I415" s="1359"/>
      <c r="J415" s="1359"/>
      <c r="K415" s="1359"/>
      <c r="L415" s="1359"/>
      <c r="M415" s="1359"/>
      <c r="N415" s="1359"/>
      <c r="O415" s="1359"/>
      <c r="P415" s="1359"/>
      <c r="Q415" s="1359"/>
      <c r="R415" s="1359"/>
      <c r="S415" s="1359"/>
      <c r="T415" s="1359"/>
      <c r="U415" s="1359"/>
      <c r="V415" s="1359"/>
      <c r="W415" s="1359"/>
      <c r="X415" s="1359"/>
      <c r="Y415" s="1359"/>
      <c r="Z415" s="1359"/>
      <c r="AA415" s="1359"/>
      <c r="AB415" s="1359"/>
      <c r="AC415" s="1359"/>
      <c r="AD415" s="1359"/>
      <c r="AE415" s="1359"/>
      <c r="AF415" s="1359"/>
      <c r="AG415" s="1359"/>
      <c r="AH415" s="1359"/>
      <c r="AI415" s="1359"/>
      <c r="AJ415" s="1359"/>
    </row>
    <row r="416" spans="4:36" ht="12.9" customHeight="1">
      <c r="D416" s="1359"/>
      <c r="E416" s="1359"/>
      <c r="F416" s="1359"/>
      <c r="G416" s="1359"/>
      <c r="H416" s="1359"/>
      <c r="I416" s="1359"/>
      <c r="J416" s="1359"/>
      <c r="K416" s="1359"/>
      <c r="L416" s="1359"/>
      <c r="M416" s="1359"/>
      <c r="N416" s="1359"/>
      <c r="O416" s="1359"/>
      <c r="P416" s="1359"/>
      <c r="Q416" s="1359"/>
      <c r="R416" s="1359"/>
      <c r="S416" s="1359"/>
      <c r="T416" s="1359"/>
      <c r="U416" s="1359"/>
      <c r="V416" s="1359"/>
      <c r="W416" s="1359"/>
      <c r="X416" s="1359"/>
      <c r="Y416" s="1359"/>
      <c r="Z416" s="1359"/>
      <c r="AA416" s="1359"/>
      <c r="AB416" s="1359"/>
      <c r="AC416" s="1359"/>
      <c r="AD416" s="1359"/>
      <c r="AE416" s="1359"/>
      <c r="AF416" s="1359"/>
      <c r="AG416" s="1359"/>
      <c r="AH416" s="1359"/>
      <c r="AI416" s="1359"/>
      <c r="AJ416" s="1359"/>
    </row>
    <row r="417" spans="1:39" ht="12.9" customHeight="1">
      <c r="AG417" s="452"/>
      <c r="AH417" s="452"/>
      <c r="AI417" s="452"/>
      <c r="AJ417" s="452"/>
    </row>
    <row r="418" spans="1:39" ht="12.9" customHeight="1">
      <c r="A418" s="2" t="s">
        <v>587</v>
      </c>
      <c r="B418" s="2"/>
      <c r="C418" s="2" t="s">
        <v>111</v>
      </c>
    </row>
    <row r="419" spans="1:39" ht="12.9" customHeight="1">
      <c r="B419" s="2"/>
      <c r="C419" s="2"/>
      <c r="D419" s="2" t="s">
        <v>1201</v>
      </c>
      <c r="I419" s="1557" t="s">
        <v>2762</v>
      </c>
      <c r="J419" s="1557"/>
      <c r="K419" s="1557"/>
      <c r="L419" s="1557"/>
      <c r="M419" s="1557"/>
      <c r="N419" s="1557"/>
      <c r="O419" s="1557"/>
      <c r="P419" s="1557"/>
      <c r="Q419" s="1557"/>
      <c r="R419" s="1557"/>
      <c r="S419" s="1557"/>
      <c r="T419" s="1557"/>
      <c r="U419" s="1557"/>
      <c r="V419" s="1557"/>
      <c r="W419" s="1557"/>
      <c r="X419" s="1557"/>
      <c r="Y419" s="1557"/>
      <c r="Z419" s="1557"/>
      <c r="AA419" s="1557"/>
      <c r="AB419" s="1557"/>
      <c r="AC419" s="1557"/>
      <c r="AD419" s="1557"/>
      <c r="AE419" s="1557"/>
    </row>
    <row r="420" spans="1:39" ht="12.9" customHeight="1">
      <c r="E420" t="s">
        <v>106</v>
      </c>
      <c r="R420" s="1424" t="s">
        <v>543</v>
      </c>
      <c r="S420" s="1424"/>
      <c r="AC420" s="27" t="s">
        <v>568</v>
      </c>
      <c r="AD420" s="1510">
        <v>6</v>
      </c>
      <c r="AE420" s="1510"/>
    </row>
    <row r="421" spans="1:39" ht="12.9" customHeight="1">
      <c r="E421" t="s">
        <v>107</v>
      </c>
      <c r="R421" s="1424" t="s">
        <v>589</v>
      </c>
      <c r="S421" s="1424"/>
      <c r="AC421" s="27" t="s">
        <v>568</v>
      </c>
      <c r="AD421" s="1510"/>
      <c r="AE421" s="1510"/>
    </row>
    <row r="422" spans="1:39" ht="12.9" customHeight="1">
      <c r="E422" t="s">
        <v>108</v>
      </c>
      <c r="S422" s="1424" t="s">
        <v>589</v>
      </c>
      <c r="T422" s="1424"/>
    </row>
    <row r="423" spans="1:39" ht="12.9" customHeight="1">
      <c r="E423" t="s">
        <v>170</v>
      </c>
      <c r="H423" s="1858" t="s">
        <v>2761</v>
      </c>
      <c r="I423" s="1858"/>
      <c r="J423" s="1858"/>
      <c r="K423" s="1858"/>
      <c r="L423" s="1858"/>
      <c r="M423" s="1858"/>
      <c r="N423" s="1858"/>
      <c r="O423" s="1858"/>
      <c r="P423" s="1858"/>
      <c r="Q423" s="1858"/>
      <c r="R423" s="1858"/>
      <c r="S423" s="1858"/>
      <c r="T423" s="1858"/>
      <c r="U423" s="1858"/>
      <c r="V423" s="1858"/>
      <c r="W423" s="1858"/>
      <c r="X423" s="1858"/>
      <c r="Y423" s="1858"/>
      <c r="Z423" s="1858"/>
      <c r="AA423" s="1858"/>
      <c r="AB423" s="1858"/>
      <c r="AC423" s="1858"/>
      <c r="AD423" s="1858"/>
      <c r="AE423" s="1858"/>
    </row>
    <row r="424" spans="1:39" ht="12.9" customHeight="1">
      <c r="H424" s="1859"/>
      <c r="I424" s="1859"/>
      <c r="J424" s="1859"/>
      <c r="K424" s="1859"/>
      <c r="L424" s="1859"/>
      <c r="M424" s="1859"/>
      <c r="N424" s="1859"/>
      <c r="O424" s="1859"/>
      <c r="P424" s="1859"/>
      <c r="Q424" s="1859"/>
      <c r="R424" s="1859"/>
      <c r="S424" s="1859"/>
      <c r="T424" s="1859"/>
      <c r="U424" s="1859"/>
      <c r="V424" s="1859"/>
      <c r="W424" s="1859"/>
      <c r="X424" s="1859"/>
      <c r="Y424" s="1859"/>
      <c r="Z424" s="1859"/>
      <c r="AA424" s="1859"/>
      <c r="AB424" s="1859"/>
      <c r="AC424" s="1859"/>
      <c r="AD424" s="1859"/>
      <c r="AE424" s="1859"/>
    </row>
    <row r="425" spans="1:39" ht="12.9" customHeight="1"/>
    <row r="426" spans="1:39" ht="12.9" customHeight="1">
      <c r="A426" s="2" t="s">
        <v>588</v>
      </c>
      <c r="B426" s="2"/>
      <c r="C426" s="2"/>
      <c r="D426" s="2" t="s">
        <v>114</v>
      </c>
      <c r="AF426" s="2" t="s">
        <v>955</v>
      </c>
    </row>
    <row r="427" spans="1:39" ht="12.9" customHeight="1">
      <c r="E427" s="1839"/>
      <c r="F427" s="1839"/>
      <c r="G427" s="1839"/>
      <c r="H427" s="13" t="s">
        <v>115</v>
      </c>
      <c r="I427" s="1839"/>
      <c r="J427" s="1839"/>
      <c r="K427" s="1839"/>
      <c r="L427" t="s">
        <v>116</v>
      </c>
      <c r="N427" s="27" t="s">
        <v>573</v>
      </c>
      <c r="P427" s="1910">
        <v>2.0499999999999998</v>
      </c>
      <c r="Q427" s="1910"/>
      <c r="R427" s="1910"/>
      <c r="S427" t="s">
        <v>117</v>
      </c>
      <c r="W427" s="1861">
        <f>IF(E427&gt;0,(E427*I427),(P427*43560))</f>
        <v>89297.999999999985</v>
      </c>
      <c r="X427" s="1861"/>
      <c r="Y427" s="1861"/>
      <c r="Z427" t="s">
        <v>118</v>
      </c>
      <c r="AF427" s="1860">
        <f>IFERROR(IF(P427&gt;0,(AG446/P427),(AG446/(W427/43560))),0)</f>
        <v>55.121951219512198</v>
      </c>
      <c r="AG427" s="1860"/>
      <c r="AH427" s="1860"/>
      <c r="AM427" s="3"/>
    </row>
    <row r="428" spans="1:39" ht="12.9" customHeight="1">
      <c r="E428" t="s">
        <v>51</v>
      </c>
    </row>
    <row r="429" spans="1:39" ht="12.9" customHeight="1">
      <c r="E429" s="1905"/>
      <c r="F429" s="1905"/>
      <c r="G429" s="1905"/>
      <c r="H429" s="1905"/>
      <c r="I429" s="1905"/>
      <c r="J429" s="1905"/>
      <c r="K429" s="1905"/>
      <c r="L429" s="1905"/>
      <c r="M429" s="1905"/>
      <c r="N429" s="1905"/>
      <c r="O429" s="1905"/>
      <c r="P429" s="1905"/>
      <c r="Q429" s="1905"/>
      <c r="R429" s="1905"/>
      <c r="S429" s="1905"/>
      <c r="T429" s="1905"/>
      <c r="U429" s="1905"/>
      <c r="V429" s="1905"/>
      <c r="W429" s="1905"/>
      <c r="X429" s="1905"/>
      <c r="Y429" s="1905"/>
      <c r="Z429" s="1905"/>
      <c r="AA429" s="1905"/>
      <c r="AB429" s="1905"/>
      <c r="AC429" s="1905"/>
      <c r="AD429" s="1905"/>
      <c r="AE429" s="1905"/>
      <c r="AF429" s="1905"/>
      <c r="AG429" s="1905"/>
      <c r="AH429" s="1905"/>
      <c r="AI429" s="1905"/>
      <c r="AJ429" s="1905"/>
    </row>
    <row r="430" spans="1:39" ht="12.9" customHeight="1">
      <c r="E430" s="118" t="s">
        <v>1721</v>
      </c>
      <c r="F430" s="1003"/>
      <c r="G430" s="1003"/>
      <c r="H430" s="1003"/>
      <c r="I430" s="1913">
        <v>2.0499999999999998</v>
      </c>
      <c r="J430" s="1913"/>
      <c r="K430" s="1913"/>
      <c r="L430" s="1003"/>
      <c r="M430" s="118"/>
      <c r="N430" s="1003"/>
      <c r="O430" s="1003"/>
      <c r="P430" s="1592">
        <f>(DU763+DU786+DU808)/I430</f>
        <v>129.26829268292684</v>
      </c>
      <c r="Q430" s="1592"/>
      <c r="R430" s="1592"/>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2.9" customHeight="1"/>
    <row r="432" spans="1:39" ht="12.9" customHeight="1">
      <c r="A432" s="2" t="s">
        <v>590</v>
      </c>
      <c r="B432" s="2"/>
      <c r="C432" s="2"/>
      <c r="D432" s="2" t="s">
        <v>120</v>
      </c>
    </row>
    <row r="433" spans="1:36" ht="12.9" customHeight="1">
      <c r="E433" t="s">
        <v>121</v>
      </c>
      <c r="P433" s="1424">
        <v>1</v>
      </c>
      <c r="Q433" s="1424"/>
      <c r="S433" t="s">
        <v>189</v>
      </c>
      <c r="AE433" s="1424">
        <v>1</v>
      </c>
      <c r="AF433" s="1424"/>
    </row>
    <row r="434" spans="1:36" ht="12.9" customHeight="1">
      <c r="E434" t="s">
        <v>190</v>
      </c>
      <c r="P434" s="1424">
        <v>0</v>
      </c>
      <c r="Q434" s="1424"/>
      <c r="S434" t="s">
        <v>131</v>
      </c>
      <c r="AE434" s="1424" t="s">
        <v>589</v>
      </c>
      <c r="AF434" s="1424"/>
    </row>
    <row r="435" spans="1:36" ht="12.9" customHeight="1">
      <c r="F435" s="28" t="s">
        <v>132</v>
      </c>
    </row>
    <row r="436" spans="1:36" ht="12.9" customHeight="1">
      <c r="F436" s="1892"/>
      <c r="G436" s="1892"/>
      <c r="H436" s="1892"/>
      <c r="I436" s="1892"/>
      <c r="J436" s="1892"/>
      <c r="K436" s="1892"/>
      <c r="L436" s="1892"/>
      <c r="M436" s="1892"/>
      <c r="N436" s="1892"/>
      <c r="O436" s="1892"/>
      <c r="P436" s="1892"/>
      <c r="Q436" s="1892"/>
      <c r="R436" s="1892"/>
      <c r="S436" s="1892"/>
      <c r="T436" s="1892"/>
      <c r="U436" s="1892"/>
      <c r="V436" s="1892"/>
      <c r="W436" s="1892"/>
      <c r="X436" s="1892"/>
      <c r="Y436" s="1892"/>
      <c r="Z436" s="1892"/>
      <c r="AA436" s="1892"/>
      <c r="AB436" s="1892"/>
      <c r="AC436" s="1892"/>
      <c r="AD436" s="1892"/>
      <c r="AE436" s="1892"/>
      <c r="AF436" s="1892"/>
      <c r="AG436" s="1892"/>
      <c r="AH436" s="1892"/>
    </row>
    <row r="437" spans="1:36" ht="12.9" customHeight="1">
      <c r="F437" s="1835"/>
      <c r="G437" s="1835"/>
      <c r="H437" s="1835"/>
      <c r="I437" s="1835"/>
      <c r="J437" s="1835"/>
      <c r="K437" s="1835"/>
      <c r="L437" s="1835"/>
      <c r="M437" s="1835"/>
      <c r="N437" s="1835"/>
      <c r="O437" s="1835"/>
      <c r="P437" s="1835"/>
      <c r="Q437" s="1835"/>
      <c r="R437" s="1835"/>
      <c r="S437" s="1835"/>
      <c r="T437" s="1835"/>
      <c r="U437" s="1835"/>
      <c r="V437" s="1835"/>
      <c r="W437" s="1835"/>
      <c r="X437" s="1835"/>
      <c r="Y437" s="1835"/>
      <c r="Z437" s="1835"/>
      <c r="AA437" s="1835"/>
      <c r="AB437" s="1835"/>
      <c r="AC437" s="1835"/>
      <c r="AD437" s="1835"/>
      <c r="AE437" s="1835"/>
      <c r="AF437" s="1835"/>
      <c r="AG437" s="1835"/>
      <c r="AH437" s="1835"/>
    </row>
    <row r="438" spans="1:36" ht="12.9" customHeight="1">
      <c r="E438" t="s">
        <v>606</v>
      </c>
      <c r="P438" s="1"/>
      <c r="Q438" s="1424" t="s">
        <v>543</v>
      </c>
      <c r="R438" s="1424"/>
    </row>
    <row r="439" spans="1:36" ht="12.9" customHeight="1">
      <c r="F439" t="s">
        <v>607</v>
      </c>
      <c r="P439" s="1"/>
      <c r="Q439" s="1"/>
      <c r="AF439" s="1424" t="s">
        <v>589</v>
      </c>
      <c r="AG439" s="1904"/>
    </row>
    <row r="440" spans="1:36" ht="12.9" customHeight="1"/>
    <row r="441" spans="1:36" ht="12.9" customHeight="1">
      <c r="A441" s="2"/>
      <c r="B441" s="2"/>
      <c r="C441" s="2"/>
      <c r="E441" s="4" t="s">
        <v>308</v>
      </c>
      <c r="Z441" s="1424" t="s">
        <v>667</v>
      </c>
      <c r="AA441" s="1424"/>
    </row>
    <row r="442" spans="1:36" ht="12.9"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 customHeight="1">
      <c r="F443" t="s">
        <v>705</v>
      </c>
      <c r="G443" s="40"/>
      <c r="I443" s="40"/>
      <c r="J443" s="40"/>
      <c r="K443" s="40"/>
      <c r="L443" s="40"/>
      <c r="M443" s="40"/>
      <c r="N443" s="40"/>
      <c r="O443" s="28"/>
      <c r="P443" s="40"/>
      <c r="Q443" s="40"/>
      <c r="R443" s="40"/>
      <c r="S443" s="40"/>
      <c r="T443" s="40"/>
      <c r="U443" s="40"/>
      <c r="V443" s="40"/>
      <c r="W443" s="40"/>
      <c r="Z443" s="1424" t="s">
        <v>589</v>
      </c>
      <c r="AA443" s="1424"/>
    </row>
    <row r="444" spans="1:36" ht="12.9" customHeight="1"/>
    <row r="445" spans="1:36" ht="12.9" customHeight="1">
      <c r="A445" s="2" t="s">
        <v>465</v>
      </c>
      <c r="B445" s="2"/>
      <c r="C445" s="2"/>
      <c r="D445" s="2" t="s">
        <v>762</v>
      </c>
      <c r="AF445" s="48"/>
    </row>
    <row r="446" spans="1:36" ht="12.9" customHeight="1">
      <c r="D446" s="1761" t="s">
        <v>43</v>
      </c>
      <c r="E446" s="1760"/>
      <c r="F446" s="1760"/>
      <c r="G446" s="1760"/>
      <c r="H446" s="1760"/>
      <c r="I446" s="1760"/>
      <c r="J446" s="1760"/>
      <c r="K446" s="1760"/>
      <c r="L446" s="1760"/>
      <c r="M446" s="1760"/>
      <c r="N446" s="1760"/>
      <c r="O446" s="1760"/>
      <c r="P446" s="1760"/>
      <c r="Q446" s="1760"/>
      <c r="R446" s="1760"/>
      <c r="S446" s="1760"/>
      <c r="T446" s="1760"/>
      <c r="U446" s="1760"/>
      <c r="V446" s="1760"/>
      <c r="W446" s="1760"/>
      <c r="X446" s="1760"/>
      <c r="Y446" s="1760"/>
      <c r="Z446" s="1760"/>
      <c r="AA446" s="1760"/>
      <c r="AB446" s="1760"/>
      <c r="AC446" s="1760"/>
      <c r="AD446" s="1760"/>
      <c r="AE446" s="1760"/>
      <c r="AF446" s="1903"/>
      <c r="AG446" s="1862">
        <v>113</v>
      </c>
      <c r="AH446" s="1862"/>
      <c r="AI446" s="1862"/>
      <c r="AJ446" s="1862"/>
    </row>
    <row r="447" spans="1:36" ht="12.9" customHeight="1">
      <c r="D447" s="1594" t="s">
        <v>1219</v>
      </c>
      <c r="E447" s="1595"/>
      <c r="F447" s="1595"/>
      <c r="G447" s="1595"/>
      <c r="H447" s="1595"/>
      <c r="I447" s="1595"/>
      <c r="J447" s="1595"/>
      <c r="K447" s="1595"/>
      <c r="L447" s="1595"/>
      <c r="M447" s="1595"/>
      <c r="N447" s="1595"/>
      <c r="O447" s="1595"/>
      <c r="P447" s="1595"/>
      <c r="Q447" s="1595"/>
      <c r="R447" s="1595"/>
      <c r="S447" s="1595"/>
      <c r="T447" s="1595"/>
      <c r="U447" s="1595"/>
      <c r="V447" s="1595"/>
      <c r="W447" s="1595"/>
      <c r="X447" s="1595"/>
      <c r="Y447" s="1595"/>
      <c r="Z447" s="1595"/>
      <c r="AA447" s="1595"/>
      <c r="AB447" s="1595"/>
      <c r="AC447" s="1595"/>
      <c r="AD447" s="1595"/>
      <c r="AE447" s="1595"/>
      <c r="AF447" s="1596"/>
      <c r="AG447" s="1911">
        <v>0</v>
      </c>
      <c r="AH447" s="1733"/>
      <c r="AI447" s="1733"/>
      <c r="AJ447" s="1733"/>
    </row>
    <row r="448" spans="1:36" ht="12.9" customHeight="1">
      <c r="D448" s="1594" t="s">
        <v>1029</v>
      </c>
      <c r="E448" s="1595"/>
      <c r="F448" s="1595"/>
      <c r="G448" s="1595"/>
      <c r="H448" s="1595"/>
      <c r="I448" s="1595"/>
      <c r="J448" s="1595"/>
      <c r="K448" s="1595"/>
      <c r="L448" s="1595"/>
      <c r="M448" s="1595"/>
      <c r="N448" s="1595"/>
      <c r="O448" s="1595"/>
      <c r="P448" s="1595"/>
      <c r="Q448" s="1595"/>
      <c r="R448" s="1595"/>
      <c r="S448" s="1595"/>
      <c r="T448" s="1595"/>
      <c r="U448" s="1595"/>
      <c r="V448" s="1595"/>
      <c r="W448" s="1595"/>
      <c r="X448" s="1595"/>
      <c r="Y448" s="1595"/>
      <c r="Z448" s="1595"/>
      <c r="AA448" s="1595"/>
      <c r="AB448" s="1595"/>
      <c r="AC448" s="1595"/>
      <c r="AD448" s="1595"/>
      <c r="AE448" s="1595"/>
      <c r="AF448" s="1596"/>
      <c r="AG448" s="1862">
        <v>112</v>
      </c>
      <c r="AH448" s="1862"/>
      <c r="AI448" s="1862"/>
      <c r="AJ448" s="1862"/>
    </row>
    <row r="449" spans="4:55" ht="12.9" customHeight="1">
      <c r="D449" s="1594" t="s">
        <v>1030</v>
      </c>
      <c r="E449" s="1595"/>
      <c r="F449" s="1595"/>
      <c r="G449" s="1595"/>
      <c r="H449" s="1595"/>
      <c r="I449" s="1595"/>
      <c r="J449" s="1595"/>
      <c r="K449" s="1595"/>
      <c r="L449" s="1595"/>
      <c r="M449" s="1595"/>
      <c r="N449" s="1595"/>
      <c r="O449" s="1595"/>
      <c r="P449" s="1595"/>
      <c r="Q449" s="1595"/>
      <c r="R449" s="1595"/>
      <c r="S449" s="1595"/>
      <c r="T449" s="1595"/>
      <c r="U449" s="1595"/>
      <c r="V449" s="1595"/>
      <c r="W449" s="1595"/>
      <c r="X449" s="1595"/>
      <c r="Y449" s="1595"/>
      <c r="Z449" s="1595"/>
      <c r="AA449" s="1595"/>
      <c r="AB449" s="1595"/>
      <c r="AC449" s="1595"/>
      <c r="AD449" s="1595"/>
      <c r="AE449" s="1595"/>
      <c r="AF449" s="1596"/>
      <c r="AG449" s="1862">
        <v>112</v>
      </c>
      <c r="AH449" s="1862"/>
      <c r="AI449" s="1862"/>
      <c r="AJ449" s="1862"/>
    </row>
    <row r="450" spans="4:55" ht="12.9" customHeight="1">
      <c r="D450" s="1594" t="s">
        <v>1032</v>
      </c>
      <c r="E450" s="1595"/>
      <c r="F450" s="1595"/>
      <c r="G450" s="1595"/>
      <c r="H450" s="1595"/>
      <c r="I450" s="1595"/>
      <c r="J450" s="1595"/>
      <c r="K450" s="1595"/>
      <c r="L450" s="1595"/>
      <c r="M450" s="1595"/>
      <c r="N450" s="1595"/>
      <c r="O450" s="1595"/>
      <c r="P450" s="1595"/>
      <c r="Q450" s="1595"/>
      <c r="R450" s="1595"/>
      <c r="S450" s="1595"/>
      <c r="T450" s="1595"/>
      <c r="U450" s="1595"/>
      <c r="V450" s="1595"/>
      <c r="W450" s="1595"/>
      <c r="X450" s="1595"/>
      <c r="Y450" s="1595"/>
      <c r="Z450" s="1595"/>
      <c r="AA450" s="1595"/>
      <c r="AB450" s="1595"/>
      <c r="AC450" s="1595"/>
      <c r="AD450" s="1595"/>
      <c r="AE450" s="1595"/>
      <c r="AF450" s="1596"/>
      <c r="AG450" s="1902">
        <f>IF(ISERROR(AG449/AG448),0,AG449/AG448)</f>
        <v>1</v>
      </c>
      <c r="AH450" s="1902"/>
      <c r="AI450" s="1902"/>
      <c r="AJ450" s="1902"/>
    </row>
    <row r="451" spans="4:55" ht="12.9" customHeight="1">
      <c r="D451" s="1594" t="s">
        <v>1031</v>
      </c>
      <c r="E451" s="1595"/>
      <c r="F451" s="1595"/>
      <c r="G451" s="1595"/>
      <c r="H451" s="1595"/>
      <c r="I451" s="1595"/>
      <c r="J451" s="1595"/>
      <c r="K451" s="1595"/>
      <c r="L451" s="1595"/>
      <c r="M451" s="1595"/>
      <c r="N451" s="1595"/>
      <c r="O451" s="1595"/>
      <c r="P451" s="1595"/>
      <c r="Q451" s="1595"/>
      <c r="R451" s="1595"/>
      <c r="S451" s="1595"/>
      <c r="T451" s="1595"/>
      <c r="U451" s="1595"/>
      <c r="V451" s="1595"/>
      <c r="W451" s="1595"/>
      <c r="X451" s="1595"/>
      <c r="Y451" s="1595"/>
      <c r="Z451" s="1595"/>
      <c r="AA451" s="1595"/>
      <c r="AB451" s="1595"/>
      <c r="AC451" s="1595"/>
      <c r="AD451" s="1595"/>
      <c r="AE451" s="1595"/>
      <c r="AF451" s="1596"/>
      <c r="AG451" s="1837">
        <f>99562-1031</f>
        <v>98531</v>
      </c>
      <c r="AH451" s="1837"/>
      <c r="AI451" s="1837"/>
      <c r="AJ451" s="1837"/>
    </row>
    <row r="452" spans="4:55" ht="12.9" customHeight="1">
      <c r="D452" s="1594" t="s">
        <v>1033</v>
      </c>
      <c r="E452" s="1595"/>
      <c r="F452" s="1595"/>
      <c r="G452" s="1595"/>
      <c r="H452" s="1595"/>
      <c r="I452" s="1595"/>
      <c r="J452" s="1595"/>
      <c r="K452" s="1595"/>
      <c r="L452" s="1595"/>
      <c r="M452" s="1595"/>
      <c r="N452" s="1595"/>
      <c r="O452" s="1595"/>
      <c r="P452" s="1595"/>
      <c r="Q452" s="1595"/>
      <c r="R452" s="1595"/>
      <c r="S452" s="1595"/>
      <c r="T452" s="1595"/>
      <c r="U452" s="1595"/>
      <c r="V452" s="1595"/>
      <c r="W452" s="1595"/>
      <c r="X452" s="1595"/>
      <c r="Y452" s="1595"/>
      <c r="Z452" s="1595"/>
      <c r="AA452" s="1595"/>
      <c r="AB452" s="1595"/>
      <c r="AC452" s="1595"/>
      <c r="AD452" s="1595"/>
      <c r="AE452" s="1595"/>
      <c r="AF452" s="1596"/>
      <c r="AG452" s="1837">
        <f>AG451</f>
        <v>98531</v>
      </c>
      <c r="AH452" s="1837"/>
      <c r="AI452" s="1837"/>
      <c r="AJ452" s="1837"/>
    </row>
    <row r="453" spans="4:55" ht="12.9" customHeight="1">
      <c r="D453" s="1594" t="s">
        <v>1034</v>
      </c>
      <c r="E453" s="1595"/>
      <c r="F453" s="1595"/>
      <c r="G453" s="1595"/>
      <c r="H453" s="1595"/>
      <c r="I453" s="1595"/>
      <c r="J453" s="1595"/>
      <c r="K453" s="1595"/>
      <c r="L453" s="1595"/>
      <c r="M453" s="1595"/>
      <c r="N453" s="1595"/>
      <c r="O453" s="1595"/>
      <c r="P453" s="1595"/>
      <c r="Q453" s="1595"/>
      <c r="R453" s="1595"/>
      <c r="S453" s="1595"/>
      <c r="T453" s="1595"/>
      <c r="U453" s="1595"/>
      <c r="V453" s="1595"/>
      <c r="W453" s="1595"/>
      <c r="X453" s="1595"/>
      <c r="Y453" s="1595"/>
      <c r="Z453" s="1595"/>
      <c r="AA453" s="1595"/>
      <c r="AB453" s="1595"/>
      <c r="AC453" s="1595"/>
      <c r="AD453" s="1595"/>
      <c r="AE453" s="1595"/>
      <c r="AF453" s="1596"/>
      <c r="AG453" s="1902">
        <f>IF(ISERROR(AG452/AG451),0,AG452/AG451)</f>
        <v>1</v>
      </c>
      <c r="AH453" s="1902"/>
      <c r="AI453" s="1902"/>
      <c r="AJ453" s="1902"/>
    </row>
    <row r="454" spans="4:55" ht="12.9" customHeight="1">
      <c r="D454" s="1594" t="s">
        <v>1035</v>
      </c>
      <c r="E454" s="1595"/>
      <c r="F454" s="1595"/>
      <c r="G454" s="1595"/>
      <c r="H454" s="1595"/>
      <c r="I454" s="1595"/>
      <c r="J454" s="1595"/>
      <c r="K454" s="1595"/>
      <c r="L454" s="1595"/>
      <c r="M454" s="1595"/>
      <c r="N454" s="1595"/>
      <c r="O454" s="1595"/>
      <c r="P454" s="1595"/>
      <c r="Q454" s="1595"/>
      <c r="R454" s="1595"/>
      <c r="S454" s="1595"/>
      <c r="T454" s="1595"/>
      <c r="U454" s="1595"/>
      <c r="V454" s="1595"/>
      <c r="W454" s="1595"/>
      <c r="X454" s="1595"/>
      <c r="Y454" s="1595"/>
      <c r="Z454" s="1595"/>
      <c r="AA454" s="1595"/>
      <c r="AB454" s="1595"/>
      <c r="AC454" s="1595"/>
      <c r="AD454" s="1595"/>
      <c r="AE454" s="1595"/>
      <c r="AF454" s="1596"/>
      <c r="AG454" s="1902">
        <f>MIN(IF(AG450&gt;AG453,AG453,AG450),1)</f>
        <v>1</v>
      </c>
      <c r="AH454" s="1902"/>
      <c r="AI454" s="1902"/>
      <c r="AJ454" s="1902"/>
    </row>
    <row r="455" spans="4:55" ht="12.9" customHeight="1">
      <c r="D455" s="1594" t="s">
        <v>2035</v>
      </c>
      <c r="E455" s="1760"/>
      <c r="F455" s="1760"/>
      <c r="G455" s="1760"/>
      <c r="H455" s="1760"/>
      <c r="I455" s="1760"/>
      <c r="J455" s="1760"/>
      <c r="K455" s="1760"/>
      <c r="L455" s="1760"/>
      <c r="M455" s="1760"/>
      <c r="N455" s="1760"/>
      <c r="O455" s="1760"/>
      <c r="P455" s="1760"/>
      <c r="Q455" s="1760"/>
      <c r="R455" s="1760"/>
      <c r="S455" s="1760"/>
      <c r="T455" s="1760"/>
      <c r="U455" s="1760"/>
      <c r="V455" s="1760"/>
      <c r="W455" s="1760"/>
      <c r="X455" s="1760"/>
      <c r="Y455" s="1760"/>
      <c r="Z455" s="1760"/>
      <c r="AA455" s="1760"/>
      <c r="AB455" s="1760"/>
      <c r="AC455" s="1760"/>
      <c r="AD455" s="1760"/>
      <c r="AE455" s="1760"/>
      <c r="AF455" s="1903"/>
      <c r="AG455" s="1837">
        <v>4031</v>
      </c>
      <c r="AH455" s="1837"/>
      <c r="AI455" s="1837"/>
      <c r="AJ455" s="1837"/>
      <c r="AZ455" s="34"/>
      <c r="BA455" s="34"/>
      <c r="BB455" s="34"/>
      <c r="BC455" s="34"/>
    </row>
    <row r="456" spans="4:55" ht="12.9" customHeight="1">
      <c r="D456" s="1761" t="s">
        <v>567</v>
      </c>
      <c r="E456" s="1760"/>
      <c r="F456" s="1760"/>
      <c r="G456" s="1760"/>
      <c r="H456" s="1760"/>
      <c r="I456" s="1760"/>
      <c r="J456" s="1760"/>
      <c r="K456" s="1760"/>
      <c r="L456" s="1760"/>
      <c r="M456" s="1760"/>
      <c r="N456" s="1760"/>
      <c r="O456" s="1760"/>
      <c r="P456" s="1760"/>
      <c r="Q456" s="1760"/>
      <c r="R456" s="1760"/>
      <c r="S456" s="1760"/>
      <c r="T456" s="1760"/>
      <c r="U456" s="1760"/>
      <c r="V456" s="1760"/>
      <c r="W456" s="1760"/>
      <c r="X456" s="1760"/>
      <c r="Y456" s="1760"/>
      <c r="Z456" s="1760"/>
      <c r="AA456" s="1760"/>
      <c r="AB456" s="1760"/>
      <c r="AC456" s="1760"/>
      <c r="AD456" s="1760"/>
      <c r="AE456" s="1760"/>
      <c r="AF456" s="1903"/>
      <c r="AG456" s="1837">
        <v>0</v>
      </c>
      <c r="AH456" s="1837"/>
      <c r="AI456" s="1837"/>
      <c r="AJ456" s="1837"/>
      <c r="AZ456" s="3"/>
      <c r="BA456" s="3"/>
      <c r="BB456" s="3"/>
      <c r="BC456" s="3"/>
    </row>
    <row r="457" spans="4:55" ht="12.9" customHeight="1">
      <c r="D457" s="1594" t="s">
        <v>1202</v>
      </c>
      <c r="E457" s="1760"/>
      <c r="F457" s="1760"/>
      <c r="G457" s="1760"/>
      <c r="H457" s="1760"/>
      <c r="I457" s="1760"/>
      <c r="J457" s="1760"/>
      <c r="K457" s="1760"/>
      <c r="L457" s="1760"/>
      <c r="M457" s="1760"/>
      <c r="N457" s="1760"/>
      <c r="O457" s="1760"/>
      <c r="P457" s="1760"/>
      <c r="Q457" s="1760"/>
      <c r="R457" s="1760"/>
      <c r="S457" s="1760"/>
      <c r="T457" s="1760"/>
      <c r="U457" s="1760"/>
      <c r="V457" s="1760"/>
      <c r="W457" s="1760"/>
      <c r="X457" s="1760"/>
      <c r="Y457" s="1760"/>
      <c r="Z457" s="1760"/>
      <c r="AA457" s="1760"/>
      <c r="AB457" s="1760"/>
      <c r="AC457" s="1760"/>
      <c r="AD457" s="1760"/>
      <c r="AE457" s="1760"/>
      <c r="AF457" s="1903"/>
      <c r="AG457" s="1837">
        <f>26922+1031</f>
        <v>27953</v>
      </c>
      <c r="AH457" s="1837"/>
      <c r="AI457" s="1837"/>
      <c r="AJ457" s="1837"/>
      <c r="AZ457" s="3"/>
      <c r="BA457" s="3"/>
      <c r="BB457" s="3"/>
      <c r="BC457" s="3"/>
    </row>
    <row r="458" spans="4:55" ht="12.9" customHeight="1">
      <c r="D458" s="1594" t="s">
        <v>1036</v>
      </c>
      <c r="E458" s="1760"/>
      <c r="F458" s="1760"/>
      <c r="G458" s="1760"/>
      <c r="H458" s="1760"/>
      <c r="I458" s="1760"/>
      <c r="J458" s="1760"/>
      <c r="K458" s="1760"/>
      <c r="L458" s="1760"/>
      <c r="M458" s="1760"/>
      <c r="N458" s="1760"/>
      <c r="O458" s="1760"/>
      <c r="P458" s="1760"/>
      <c r="Q458" s="1760"/>
      <c r="R458" s="1760"/>
      <c r="S458" s="1760"/>
      <c r="T458" s="1760"/>
      <c r="U458" s="1760"/>
      <c r="V458" s="1760"/>
      <c r="W458" s="1760"/>
      <c r="X458" s="1760"/>
      <c r="Y458" s="1760"/>
      <c r="Z458" s="1760"/>
      <c r="AA458" s="1760"/>
      <c r="AB458" s="1760"/>
      <c r="AC458" s="1760"/>
      <c r="AD458" s="1760"/>
      <c r="AE458" s="1760"/>
      <c r="AF458" s="1903"/>
      <c r="AG458" s="1837">
        <v>21680</v>
      </c>
      <c r="AH458" s="1837"/>
      <c r="AI458" s="1837"/>
      <c r="AJ458" s="1837"/>
      <c r="BB458" s="3"/>
      <c r="BC458" s="3"/>
    </row>
    <row r="459" spans="4:55" ht="12.9" customHeight="1">
      <c r="D459" s="1851" t="s">
        <v>1037</v>
      </c>
      <c r="E459" s="1852"/>
      <c r="F459" s="1852"/>
      <c r="G459" s="1852"/>
      <c r="H459" s="1852"/>
      <c r="I459" s="1852"/>
      <c r="J459" s="1852"/>
      <c r="K459" s="1852"/>
      <c r="L459" s="1852"/>
      <c r="M459" s="1852"/>
      <c r="N459" s="1852"/>
      <c r="O459" s="1852"/>
      <c r="P459" s="1852"/>
      <c r="Q459" s="1852"/>
      <c r="R459" s="1852"/>
      <c r="S459" s="1852"/>
      <c r="T459" s="1852"/>
      <c r="U459" s="1852"/>
      <c r="V459" s="1852"/>
      <c r="W459" s="1852"/>
      <c r="X459" s="1852"/>
      <c r="Y459" s="1852"/>
      <c r="Z459" s="1852"/>
      <c r="AA459" s="1852"/>
      <c r="AB459" s="1852"/>
      <c r="AC459" s="1852"/>
      <c r="AD459" s="1852"/>
      <c r="AE459" s="1852"/>
      <c r="AF459" s="1853"/>
      <c r="AG459" s="1917">
        <f>AG451+AG455+AG457+AG458</f>
        <v>152195</v>
      </c>
      <c r="AH459" s="1917"/>
      <c r="AI459" s="1917"/>
      <c r="AJ459" s="1917"/>
      <c r="AZ459" s="3"/>
      <c r="BA459" s="3"/>
      <c r="BB459" s="3"/>
      <c r="BC459" s="3"/>
    </row>
    <row r="460" spans="4:55" ht="12.9" customHeight="1">
      <c r="D460" s="1829" t="s">
        <v>1203</v>
      </c>
      <c r="E460" s="1829"/>
      <c r="F460" s="1829"/>
      <c r="G460" s="1829"/>
      <c r="H460" s="1829"/>
      <c r="I460" s="1829"/>
      <c r="J460" s="1829"/>
      <c r="K460" s="1829"/>
      <c r="L460" s="1829"/>
      <c r="M460" s="1829"/>
      <c r="N460" s="1829"/>
      <c r="O460" s="1829"/>
      <c r="P460" s="1829"/>
      <c r="Q460" s="1829"/>
      <c r="R460" s="1829"/>
      <c r="S460" s="1829"/>
      <c r="T460" s="1829"/>
      <c r="U460" s="1829"/>
      <c r="V460" s="1829"/>
      <c r="W460" s="1829"/>
      <c r="X460" s="1829"/>
      <c r="Y460" s="1829"/>
      <c r="Z460" s="1829"/>
      <c r="AA460" s="1829"/>
      <c r="AB460" s="1829"/>
      <c r="AC460" s="1829"/>
      <c r="AD460" s="1829"/>
      <c r="AE460" s="1829"/>
      <c r="AF460" s="1829"/>
      <c r="AG460" s="1829"/>
      <c r="AH460" s="1829"/>
      <c r="AI460" s="1829"/>
      <c r="AJ460" s="1829"/>
      <c r="AZ460" s="3"/>
      <c r="BA460" s="3"/>
      <c r="BB460" s="3"/>
      <c r="BC460" s="3"/>
    </row>
    <row r="461" spans="4:55" ht="12.9" customHeight="1">
      <c r="D461" s="1830"/>
      <c r="E461" s="1830"/>
      <c r="F461" s="1830"/>
      <c r="G461" s="1830"/>
      <c r="H461" s="1830"/>
      <c r="I461" s="1830"/>
      <c r="J461" s="1830"/>
      <c r="K461" s="1830"/>
      <c r="L461" s="1830"/>
      <c r="M461" s="1830"/>
      <c r="N461" s="1830"/>
      <c r="O461" s="1830"/>
      <c r="P461" s="1830"/>
      <c r="Q461" s="1830"/>
      <c r="R461" s="1830"/>
      <c r="S461" s="1830"/>
      <c r="T461" s="1830"/>
      <c r="U461" s="1830"/>
      <c r="V461" s="1830"/>
      <c r="W461" s="1830"/>
      <c r="X461" s="1830"/>
      <c r="Y461" s="1830"/>
      <c r="Z461" s="1830"/>
      <c r="AA461" s="1830"/>
      <c r="AB461" s="1830"/>
      <c r="AC461" s="1830"/>
      <c r="AD461" s="1830"/>
      <c r="AE461" s="1830"/>
      <c r="AF461" s="1830"/>
      <c r="AG461" s="1830"/>
      <c r="AH461" s="1830"/>
      <c r="AI461" s="1830"/>
      <c r="AJ461" s="1830"/>
      <c r="AZ461" s="3"/>
      <c r="BA461" s="3"/>
      <c r="BB461" s="3"/>
      <c r="BC461" s="3"/>
    </row>
    <row r="462" spans="4:55" ht="12.9"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 customHeight="1">
      <c r="D463" s="205" t="s">
        <v>812</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838">
        <f>IF(AG446=0,"",'Sources and Uses Budget'!B105/Application!AG446)</f>
        <v>707238.08849557524</v>
      </c>
      <c r="AD463" s="1838"/>
      <c r="AE463" s="1838"/>
      <c r="AF463" s="1838"/>
      <c r="AG463" s="177"/>
      <c r="AH463" s="177"/>
      <c r="AI463" s="177"/>
      <c r="AJ463" s="183"/>
      <c r="AZ463" s="3"/>
      <c r="BA463" s="3" t="str">
        <f>AG583</f>
        <v>Yes</v>
      </c>
      <c r="BB463" s="3"/>
      <c r="BC463" s="3"/>
    </row>
    <row r="464" spans="4:55" ht="12.9" customHeight="1">
      <c r="D464" s="205" t="s">
        <v>813</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838">
        <f>IF(AG446=0,"",'Sources and Uses Budget'!C105/Application!AG446)</f>
        <v>707238.08849557524</v>
      </c>
      <c r="AD464" s="1838"/>
      <c r="AE464" s="1838"/>
      <c r="AF464" s="1838"/>
      <c r="AG464" s="177"/>
      <c r="AH464" s="177"/>
      <c r="AI464" s="177"/>
      <c r="AJ464" s="183"/>
      <c r="AZ464" s="3"/>
      <c r="BA464" s="3"/>
      <c r="BB464" s="3"/>
      <c r="BC464" s="3"/>
    </row>
    <row r="465" spans="1:55" ht="12.9" customHeight="1">
      <c r="D465" s="205" t="s">
        <v>861</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838">
        <f>IF(AG446=0,"",('Sources and Uses Budget'!$S$107+'Sources and Uses Budget'!$T$107)/Application!AG446)</f>
        <v>679925.89380530978</v>
      </c>
      <c r="AD465" s="1838"/>
      <c r="AE465" s="1838"/>
      <c r="AF465" s="1838"/>
      <c r="AG465" s="177"/>
      <c r="AH465" s="177"/>
      <c r="AI465" s="177"/>
      <c r="AJ465" s="183"/>
      <c r="AZ465" s="3"/>
      <c r="BA465" s="3"/>
      <c r="BB465" s="3"/>
      <c r="BC465" s="3"/>
    </row>
    <row r="466" spans="1:55" ht="12.9"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 customHeight="1">
      <c r="A467" s="2" t="s">
        <v>611</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 customHeight="1">
      <c r="A472" s="3"/>
      <c r="B472" s="3"/>
      <c r="C472" s="3"/>
      <c r="D472" s="185" t="s">
        <v>690</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 customHeight="1">
      <c r="A473" s="3"/>
      <c r="B473" s="3"/>
      <c r="C473" s="3"/>
      <c r="D473" s="1914" t="s">
        <v>2047</v>
      </c>
      <c r="E473" s="1855"/>
      <c r="F473" s="1855"/>
      <c r="G473" s="1855"/>
      <c r="H473" s="1855"/>
      <c r="I473" s="1855"/>
      <c r="J473" s="1855"/>
      <c r="K473" s="1855"/>
      <c r="L473" s="1855"/>
      <c r="M473" s="1855"/>
      <c r="N473" s="1855"/>
      <c r="O473" s="1855"/>
      <c r="P473" s="1855"/>
      <c r="Q473" s="1855"/>
      <c r="R473" s="1855"/>
      <c r="S473" s="1855"/>
      <c r="T473" s="1855"/>
      <c r="U473" s="1855"/>
      <c r="V473" s="1856"/>
      <c r="W473" s="1579">
        <v>0</v>
      </c>
      <c r="X473" s="1580"/>
      <c r="Y473" s="1581"/>
      <c r="Z473" s="184"/>
      <c r="AA473" s="184"/>
      <c r="AB473" s="184"/>
      <c r="AC473" s="184"/>
      <c r="AD473" s="177"/>
      <c r="AE473" s="177"/>
      <c r="AF473" s="177"/>
      <c r="AG473" s="177"/>
      <c r="AH473" s="177"/>
      <c r="AI473" s="177"/>
      <c r="AJ473" s="183"/>
      <c r="AZ473" s="3"/>
      <c r="BA473" s="3"/>
      <c r="BB473" s="3"/>
      <c r="BC473" s="3"/>
    </row>
    <row r="474" spans="1:55" ht="12.9" customHeight="1">
      <c r="A474" s="3"/>
      <c r="B474" s="3"/>
      <c r="C474" s="3"/>
      <c r="D474" s="1854" t="s">
        <v>691</v>
      </c>
      <c r="E474" s="1855"/>
      <c r="F474" s="1855"/>
      <c r="G474" s="1855"/>
      <c r="H474" s="1855"/>
      <c r="I474" s="1855"/>
      <c r="J474" s="1855"/>
      <c r="K474" s="1855"/>
      <c r="L474" s="1855"/>
      <c r="M474" s="1855"/>
      <c r="N474" s="1855"/>
      <c r="O474" s="1855"/>
      <c r="P474" s="1855"/>
      <c r="Q474" s="1855"/>
      <c r="R474" s="1855"/>
      <c r="S474" s="1855"/>
      <c r="T474" s="1855"/>
      <c r="U474" s="1855"/>
      <c r="V474" s="1856"/>
      <c r="W474" s="1579">
        <v>0</v>
      </c>
      <c r="X474" s="1580"/>
      <c r="Y474" s="1581"/>
      <c r="Z474" s="184"/>
      <c r="AA474" s="184"/>
      <c r="AB474" s="184"/>
      <c r="AC474" s="184"/>
      <c r="AD474" s="177"/>
      <c r="AE474" s="177"/>
      <c r="AF474" s="177"/>
      <c r="AG474" s="177"/>
      <c r="AH474" s="177"/>
      <c r="AI474" s="177"/>
      <c r="AJ474" s="183"/>
      <c r="AZ474" s="3"/>
      <c r="BA474" s="3"/>
      <c r="BB474" s="3"/>
      <c r="BC474" s="3"/>
    </row>
    <row r="475" spans="1:55" ht="12.9" customHeight="1">
      <c r="A475" s="3"/>
      <c r="B475" s="3"/>
      <c r="C475" s="3"/>
      <c r="D475" s="1854" t="s">
        <v>692</v>
      </c>
      <c r="E475" s="1855"/>
      <c r="F475" s="1855"/>
      <c r="G475" s="1855"/>
      <c r="H475" s="1855"/>
      <c r="I475" s="1855"/>
      <c r="J475" s="1855"/>
      <c r="K475" s="1855"/>
      <c r="L475" s="1855"/>
      <c r="M475" s="1855"/>
      <c r="N475" s="1855"/>
      <c r="O475" s="1855"/>
      <c r="P475" s="1855"/>
      <c r="Q475" s="1855"/>
      <c r="R475" s="1855"/>
      <c r="S475" s="1855"/>
      <c r="T475" s="1855"/>
      <c r="U475" s="1855"/>
      <c r="V475" s="1856"/>
      <c r="W475" s="1579">
        <v>0</v>
      </c>
      <c r="X475" s="1580"/>
      <c r="Y475" s="1581"/>
      <c r="Z475" s="184"/>
      <c r="AA475" s="184"/>
      <c r="AB475" s="184"/>
      <c r="AC475" s="184"/>
      <c r="AD475" s="177"/>
      <c r="AE475" s="177"/>
      <c r="AF475" s="177"/>
      <c r="AG475" s="177"/>
      <c r="AH475" s="177"/>
      <c r="AI475" s="177"/>
      <c r="AJ475" s="183"/>
      <c r="AZ475" s="3"/>
      <c r="BA475" s="3"/>
      <c r="BB475" s="3"/>
      <c r="BC475" s="3"/>
    </row>
    <row r="476" spans="1:55" ht="12.9" customHeight="1">
      <c r="A476" s="3"/>
      <c r="B476" s="3"/>
      <c r="C476" s="3"/>
      <c r="D476" s="1854" t="s">
        <v>693</v>
      </c>
      <c r="E476" s="1855"/>
      <c r="F476" s="1855"/>
      <c r="G476" s="1855"/>
      <c r="H476" s="1855"/>
      <c r="I476" s="1855"/>
      <c r="J476" s="1855"/>
      <c r="K476" s="1855"/>
      <c r="L476" s="1855"/>
      <c r="M476" s="1855"/>
      <c r="N476" s="1855"/>
      <c r="O476" s="1855"/>
      <c r="P476" s="1855"/>
      <c r="Q476" s="1855"/>
      <c r="R476" s="1855"/>
      <c r="S476" s="1855"/>
      <c r="T476" s="1855"/>
      <c r="U476" s="1855"/>
      <c r="V476" s="1856"/>
      <c r="W476" s="1579">
        <v>0</v>
      </c>
      <c r="X476" s="1580"/>
      <c r="Y476" s="1581"/>
      <c r="Z476" s="184"/>
      <c r="AA476" s="184"/>
      <c r="AB476" s="184"/>
      <c r="AC476" s="184"/>
      <c r="AD476" s="177"/>
      <c r="AE476" s="177"/>
      <c r="AF476" s="177"/>
      <c r="AG476" s="177"/>
      <c r="AH476" s="177"/>
      <c r="AI476" s="177"/>
      <c r="AJ476" s="183"/>
      <c r="AZ476" s="3"/>
      <c r="BA476" s="3"/>
      <c r="BB476" s="3"/>
      <c r="BC476" s="3"/>
    </row>
    <row r="477" spans="1:55" ht="12.9" customHeight="1">
      <c r="A477" s="3"/>
      <c r="B477" s="3"/>
      <c r="C477" s="3"/>
      <c r="D477" s="1854" t="s">
        <v>879</v>
      </c>
      <c r="E477" s="1855"/>
      <c r="F477" s="1855"/>
      <c r="G477" s="1855"/>
      <c r="H477" s="1855"/>
      <c r="I477" s="1855"/>
      <c r="J477" s="1855"/>
      <c r="K477" s="1855"/>
      <c r="L477" s="1855"/>
      <c r="M477" s="1855"/>
      <c r="N477" s="1855"/>
      <c r="O477" s="1855"/>
      <c r="P477" s="1855"/>
      <c r="Q477" s="1855"/>
      <c r="R477" s="1855"/>
      <c r="S477" s="1855"/>
      <c r="T477" s="1855"/>
      <c r="U477" s="1855"/>
      <c r="V477" s="1856"/>
      <c r="W477" s="1579">
        <v>0</v>
      </c>
      <c r="X477" s="1580"/>
      <c r="Y477" s="1581"/>
      <c r="Z477" s="184"/>
      <c r="AA477" s="184"/>
      <c r="AB477" s="184"/>
      <c r="AC477" s="184"/>
      <c r="AD477" s="177"/>
      <c r="AE477" s="177"/>
      <c r="AF477" s="177"/>
      <c r="AG477" s="177"/>
      <c r="AH477" s="177"/>
      <c r="AI477" s="177"/>
      <c r="AJ477" s="183"/>
      <c r="AZ477" s="3"/>
      <c r="BA477" s="3" t="str">
        <f>N599</f>
        <v>Yes</v>
      </c>
      <c r="BB477" s="3"/>
      <c r="BC477" s="3"/>
    </row>
    <row r="478" spans="1:55" ht="12.9" customHeight="1">
      <c r="A478" s="3"/>
      <c r="B478" s="3"/>
      <c r="C478" s="3"/>
      <c r="D478" s="1854" t="s">
        <v>694</v>
      </c>
      <c r="E478" s="1855"/>
      <c r="F478" s="1855"/>
      <c r="G478" s="1855"/>
      <c r="H478" s="1855"/>
      <c r="I478" s="1855"/>
      <c r="J478" s="1855"/>
      <c r="K478" s="1855"/>
      <c r="L478" s="1855"/>
      <c r="M478" s="1855"/>
      <c r="N478" s="1855"/>
      <c r="O478" s="1855"/>
      <c r="P478" s="1855"/>
      <c r="Q478" s="1855"/>
      <c r="R478" s="1855"/>
      <c r="S478" s="1855"/>
      <c r="T478" s="1855"/>
      <c r="U478" s="1855"/>
      <c r="V478" s="1856"/>
      <c r="W478" s="1579">
        <v>0</v>
      </c>
      <c r="X478" s="1580"/>
      <c r="Y478" s="1581"/>
      <c r="Z478" s="184"/>
      <c r="AA478" s="184"/>
      <c r="AB478" s="184"/>
      <c r="AC478" s="184"/>
      <c r="AD478" s="177"/>
      <c r="AE478" s="177"/>
      <c r="AF478" s="177"/>
      <c r="AG478" s="177"/>
      <c r="AH478" s="177"/>
      <c r="AI478" s="177"/>
      <c r="AJ478" s="183"/>
      <c r="AZ478" s="3"/>
      <c r="BA478" s="3" t="str">
        <f>AG599</f>
        <v>Yes</v>
      </c>
      <c r="BB478" s="3"/>
      <c r="BC478" s="3"/>
    </row>
    <row r="479" spans="1:55" ht="12.9" customHeight="1">
      <c r="A479" s="3"/>
      <c r="B479" s="3"/>
      <c r="C479" s="3"/>
      <c r="D479" s="1854" t="s">
        <v>1010</v>
      </c>
      <c r="E479" s="1855"/>
      <c r="F479" s="1855"/>
      <c r="G479" s="1855"/>
      <c r="H479" s="1855"/>
      <c r="I479" s="1855"/>
      <c r="J479" s="1855"/>
      <c r="K479" s="1855"/>
      <c r="L479" s="1855"/>
      <c r="M479" s="1855"/>
      <c r="N479" s="1855"/>
      <c r="O479" s="1855"/>
      <c r="P479" s="1855"/>
      <c r="Q479" s="1855"/>
      <c r="R479" s="1855"/>
      <c r="S479" s="1855"/>
      <c r="T479" s="1855"/>
      <c r="U479" s="1855"/>
      <c r="V479" s="1856"/>
      <c r="W479" s="1579">
        <v>0</v>
      </c>
      <c r="X479" s="1580"/>
      <c r="Y479" s="1581"/>
      <c r="Z479" s="184"/>
      <c r="AA479" s="184"/>
      <c r="AB479" s="184"/>
      <c r="AC479" s="184"/>
      <c r="AD479" s="177"/>
      <c r="AE479" s="177"/>
      <c r="AF479" s="177"/>
      <c r="AG479" s="177"/>
      <c r="AH479" s="177"/>
      <c r="AI479" s="177"/>
      <c r="AJ479" s="183"/>
      <c r="AZ479" s="3"/>
      <c r="BA479" s="3"/>
      <c r="BB479" s="3"/>
      <c r="BC479" s="3"/>
    </row>
    <row r="480" spans="1:55" ht="12.9" customHeight="1">
      <c r="A480" s="3"/>
      <c r="B480" s="3"/>
      <c r="C480" s="3"/>
      <c r="D480" s="1914" t="s">
        <v>2137</v>
      </c>
      <c r="E480" s="1936"/>
      <c r="F480" s="1936"/>
      <c r="G480" s="1936"/>
      <c r="H480" s="1936"/>
      <c r="I480" s="1936"/>
      <c r="J480" s="1936"/>
      <c r="K480" s="1936"/>
      <c r="L480" s="1936"/>
      <c r="M480" s="1936"/>
      <c r="N480" s="1936"/>
      <c r="O480" s="1936"/>
      <c r="P480" s="1936"/>
      <c r="Q480" s="1936"/>
      <c r="R480" s="1936"/>
      <c r="S480" s="1936"/>
      <c r="T480" s="1936"/>
      <c r="U480" s="1936"/>
      <c r="V480" s="1937"/>
      <c r="W480" s="1579">
        <v>0</v>
      </c>
      <c r="X480" s="1580"/>
      <c r="Y480" s="1581"/>
      <c r="Z480" s="184"/>
      <c r="AA480" s="184"/>
      <c r="AB480" s="184"/>
      <c r="AC480" s="184"/>
      <c r="AD480" s="177"/>
      <c r="AE480" s="177"/>
      <c r="AF480" s="177"/>
      <c r="AG480" s="177"/>
      <c r="AH480" s="177"/>
      <c r="AI480" s="177"/>
      <c r="AJ480" s="183"/>
      <c r="AZ480" s="3"/>
      <c r="BA480" s="3"/>
      <c r="BB480" s="3"/>
      <c r="BC480" s="3"/>
    </row>
    <row r="481" spans="1:55" ht="12.9" customHeight="1">
      <c r="A481" s="3"/>
      <c r="B481" s="3"/>
      <c r="C481" s="3"/>
      <c r="D481" s="1914" t="s">
        <v>1640</v>
      </c>
      <c r="E481" s="1855"/>
      <c r="F481" s="1855"/>
      <c r="G481" s="1855"/>
      <c r="H481" s="1855"/>
      <c r="I481" s="1855"/>
      <c r="J481" s="1855"/>
      <c r="K481" s="1855"/>
      <c r="L481" s="1855"/>
      <c r="M481" s="1855"/>
      <c r="N481" s="1855"/>
      <c r="O481" s="1855"/>
      <c r="P481" s="1855"/>
      <c r="Q481" s="1855"/>
      <c r="R481" s="1855"/>
      <c r="S481" s="1855"/>
      <c r="T481" s="1855"/>
      <c r="U481" s="1855"/>
      <c r="V481" s="1856"/>
      <c r="W481" s="1579">
        <v>17</v>
      </c>
      <c r="X481" s="1580"/>
      <c r="Y481" s="1581"/>
      <c r="Z481" s="184"/>
      <c r="AA481" s="184"/>
      <c r="AB481" s="184"/>
      <c r="AC481" s="184"/>
      <c r="AD481" s="177"/>
      <c r="AE481" s="177"/>
      <c r="AF481" s="177"/>
      <c r="AG481" s="177"/>
      <c r="AH481" s="177"/>
      <c r="AI481" s="177"/>
      <c r="AJ481" s="183"/>
      <c r="AZ481" s="3"/>
      <c r="BA481" s="3"/>
      <c r="BB481" s="3"/>
      <c r="BC481" s="3"/>
    </row>
    <row r="482" spans="1:55" ht="12.9" customHeight="1">
      <c r="A482" s="3"/>
      <c r="B482" s="3"/>
      <c r="C482" s="3"/>
      <c r="D482" s="243" t="s">
        <v>170</v>
      </c>
      <c r="E482" s="244"/>
      <c r="F482" s="245"/>
      <c r="G482" s="1843"/>
      <c r="H482" s="1844"/>
      <c r="I482" s="1844"/>
      <c r="J482" s="1844"/>
      <c r="K482" s="1844"/>
      <c r="L482" s="1844"/>
      <c r="M482" s="1844"/>
      <c r="N482" s="1844"/>
      <c r="O482" s="1844"/>
      <c r="P482" s="1844"/>
      <c r="Q482" s="1844"/>
      <c r="R482" s="1844"/>
      <c r="S482" s="1844"/>
      <c r="T482" s="1844"/>
      <c r="U482" s="1844"/>
      <c r="V482" s="1845"/>
      <c r="W482" s="1579">
        <v>0</v>
      </c>
      <c r="X482" s="1580"/>
      <c r="Y482" s="1581"/>
      <c r="Z482" s="184"/>
      <c r="AA482" s="184"/>
      <c r="AB482" s="184"/>
      <c r="AC482" s="184"/>
      <c r="AD482" s="177"/>
      <c r="AE482" s="177"/>
      <c r="AF482" s="177"/>
      <c r="AG482" s="177"/>
      <c r="AH482" s="177"/>
      <c r="AI482" s="177"/>
      <c r="AJ482" s="183"/>
      <c r="AZ482" s="3"/>
      <c r="BA482" s="3"/>
      <c r="BB482" s="3"/>
      <c r="BC482" s="3"/>
    </row>
    <row r="483" spans="1:55" ht="12.9" customHeight="1">
      <c r="A483" s="3"/>
      <c r="B483" s="3"/>
      <c r="C483" s="3"/>
      <c r="D483" s="246" t="s">
        <v>880</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2.9" customHeight="1">
      <c r="AU487" s="95"/>
      <c r="AV487" s="95"/>
      <c r="AW487" s="95"/>
      <c r="AX487" s="95"/>
      <c r="AY487" s="95"/>
      <c r="AZ487" s="3"/>
      <c r="BA487" s="3">
        <f>AG607</f>
        <v>0</v>
      </c>
      <c r="BB487" s="3"/>
      <c r="BC487" s="3"/>
    </row>
    <row r="488" spans="1:55" ht="12.9" customHeight="1">
      <c r="A488" s="1575" t="s">
        <v>808</v>
      </c>
      <c r="B488" s="1575"/>
      <c r="C488" s="1575"/>
      <c r="D488" s="1575"/>
      <c r="E488" s="1575"/>
      <c r="F488" s="1575"/>
      <c r="G488" s="1575"/>
      <c r="H488" s="1575"/>
      <c r="I488" s="1575"/>
      <c r="J488" s="1575"/>
      <c r="K488" s="1575"/>
      <c r="L488" s="1575"/>
      <c r="M488" s="1575"/>
      <c r="N488" s="1575"/>
      <c r="O488" s="1575"/>
      <c r="P488" s="1575"/>
      <c r="Q488" s="1575"/>
      <c r="R488" s="1575"/>
      <c r="S488" s="1575"/>
      <c r="T488" s="1575"/>
      <c r="U488" s="1575"/>
      <c r="V488" s="1575"/>
      <c r="W488" s="1575"/>
      <c r="X488" s="1575"/>
      <c r="Y488" s="1575"/>
      <c r="Z488" s="1575"/>
      <c r="AA488" s="1575"/>
      <c r="AB488" s="1575"/>
      <c r="AC488" s="1575"/>
      <c r="AD488" s="1575"/>
      <c r="AE488" s="1575"/>
      <c r="AF488" s="1575"/>
      <c r="AG488" s="1575"/>
      <c r="AH488" s="1575"/>
      <c r="AI488" s="1575"/>
      <c r="AJ488" s="1575"/>
      <c r="AK488" s="1575"/>
      <c r="AL488" s="1575"/>
      <c r="AM488" s="1575"/>
      <c r="AN488" s="1575"/>
      <c r="AO488" s="1575"/>
      <c r="AP488" s="1575"/>
      <c r="AQ488" s="1575"/>
      <c r="AR488" s="1575"/>
      <c r="AS488" s="1575"/>
      <c r="AT488" s="1575"/>
      <c r="AU488" s="95"/>
      <c r="AV488" s="95"/>
      <c r="AW488" s="95"/>
      <c r="AX488" s="95"/>
      <c r="AY488" s="95"/>
      <c r="AZ488" s="3"/>
      <c r="BB488" s="3"/>
      <c r="BC488" s="3"/>
    </row>
    <row r="489" spans="1:55" ht="12.9" customHeight="1">
      <c r="A489" s="1575"/>
      <c r="B489" s="1575"/>
      <c r="C489" s="1575"/>
      <c r="D489" s="1575"/>
      <c r="E489" s="1575"/>
      <c r="F489" s="1575"/>
      <c r="G489" s="1575"/>
      <c r="H489" s="1575"/>
      <c r="I489" s="1575"/>
      <c r="J489" s="1575"/>
      <c r="K489" s="1575"/>
      <c r="L489" s="1575"/>
      <c r="M489" s="1575"/>
      <c r="N489" s="1575"/>
      <c r="O489" s="1575"/>
      <c r="P489" s="1575"/>
      <c r="Q489" s="1575"/>
      <c r="R489" s="1575"/>
      <c r="S489" s="1575"/>
      <c r="T489" s="1575"/>
      <c r="U489" s="1575"/>
      <c r="V489" s="1575"/>
      <c r="W489" s="1575"/>
      <c r="X489" s="1575"/>
      <c r="Y489" s="1575"/>
      <c r="Z489" s="1575"/>
      <c r="AA489" s="1575"/>
      <c r="AB489" s="1575"/>
      <c r="AC489" s="1575"/>
      <c r="AD489" s="1575"/>
      <c r="AE489" s="1575"/>
      <c r="AF489" s="1575"/>
      <c r="AG489" s="1575"/>
      <c r="AH489" s="1575"/>
      <c r="AI489" s="1575"/>
      <c r="AJ489" s="1575"/>
      <c r="AK489" s="1575"/>
      <c r="AL489" s="1575"/>
      <c r="AM489" s="1575"/>
      <c r="AN489" s="1575"/>
      <c r="AO489" s="1575"/>
      <c r="AP489" s="1575"/>
      <c r="AQ489" s="1575"/>
      <c r="AR489" s="1575"/>
      <c r="AS489" s="1575"/>
      <c r="AT489" s="1575"/>
      <c r="AZ489" s="3"/>
      <c r="BB489" s="3"/>
      <c r="BC489" s="3"/>
    </row>
    <row r="490" spans="1:55" ht="12.9" customHeight="1">
      <c r="AZ490" s="3"/>
      <c r="BB490" s="3"/>
      <c r="BC490" s="3"/>
    </row>
    <row r="491" spans="1:55" ht="12.9" customHeight="1">
      <c r="A491" s="2" t="s">
        <v>319</v>
      </c>
      <c r="C491" s="2" t="s">
        <v>806</v>
      </c>
      <c r="AZ491" s="3"/>
      <c r="BB491" s="3"/>
      <c r="BC491" s="3"/>
    </row>
    <row r="492" spans="1:55" ht="12.9" customHeight="1">
      <c r="AZ492" s="3"/>
      <c r="BB492" s="3"/>
      <c r="BC492" s="3"/>
    </row>
    <row r="493" spans="1:55" ht="12.9" customHeight="1">
      <c r="B493" s="45"/>
      <c r="C493" s="5"/>
      <c r="D493" s="5"/>
      <c r="E493" s="5"/>
      <c r="F493" s="5"/>
      <c r="G493" s="5"/>
      <c r="H493" s="5"/>
      <c r="I493" s="5"/>
      <c r="J493" s="5"/>
      <c r="K493" s="5"/>
      <c r="L493" s="5"/>
      <c r="M493" s="5"/>
      <c r="N493" s="5"/>
      <c r="O493" s="5"/>
      <c r="P493" s="46"/>
      <c r="Q493" s="1848" t="s">
        <v>392</v>
      </c>
      <c r="R493" s="1849"/>
      <c r="S493" s="1849"/>
      <c r="T493" s="1849"/>
      <c r="U493" s="1849"/>
      <c r="V493" s="1849"/>
      <c r="W493" s="1849"/>
      <c r="X493" s="1849"/>
      <c r="Y493" s="1849"/>
      <c r="Z493" s="1849"/>
      <c r="AA493" s="1849"/>
      <c r="AB493" s="1849"/>
      <c r="AC493" s="1849"/>
      <c r="AD493" s="1849"/>
      <c r="AE493" s="1849"/>
      <c r="AF493" s="1849"/>
      <c r="AG493" s="1849"/>
      <c r="AH493" s="1849"/>
      <c r="AI493" s="1849"/>
      <c r="AJ493" s="1849"/>
      <c r="AK493" s="1850"/>
      <c r="AZ493" s="3"/>
      <c r="BB493" s="3"/>
      <c r="BC493" s="3"/>
    </row>
    <row r="494" spans="1:55" ht="12.9" customHeight="1">
      <c r="B494" s="45" t="s">
        <v>393</v>
      </c>
      <c r="C494" s="5"/>
      <c r="D494" s="5"/>
      <c r="E494" s="5"/>
      <c r="F494" s="5"/>
      <c r="G494" s="5"/>
      <c r="H494" s="5"/>
      <c r="I494" s="5"/>
      <c r="J494" s="5"/>
      <c r="K494" s="5"/>
      <c r="L494" s="5"/>
      <c r="M494" s="5"/>
      <c r="N494" s="5"/>
      <c r="O494" s="5"/>
      <c r="P494" s="5"/>
      <c r="Q494" s="1632" t="s">
        <v>2763</v>
      </c>
      <c r="R494" s="1516"/>
      <c r="S494" s="1516"/>
      <c r="T494" s="1516"/>
      <c r="U494" s="1516"/>
      <c r="V494" s="1516"/>
      <c r="W494" s="1516"/>
      <c r="X494" s="1516"/>
      <c r="Y494" s="1516"/>
      <c r="Z494" s="1516"/>
      <c r="AA494" s="1516"/>
      <c r="AB494" s="1516"/>
      <c r="AC494" s="1516"/>
      <c r="AD494" s="1516"/>
      <c r="AE494" s="1516"/>
      <c r="AF494" s="1516"/>
      <c r="AG494" s="1516"/>
      <c r="AH494" s="1516"/>
      <c r="AI494" s="1516"/>
      <c r="AJ494" s="1516"/>
      <c r="AK494" s="1633"/>
      <c r="AZ494" s="3"/>
      <c r="BB494" s="3"/>
      <c r="BC494" s="3"/>
    </row>
    <row r="495" spans="1:55" ht="12.9" customHeight="1">
      <c r="B495" s="45" t="s">
        <v>394</v>
      </c>
      <c r="C495" s="5"/>
      <c r="D495" s="5"/>
      <c r="E495" s="5"/>
      <c r="F495" s="5"/>
      <c r="G495" s="5"/>
      <c r="H495" s="5"/>
      <c r="I495" s="5"/>
      <c r="J495" s="5"/>
      <c r="K495" s="5"/>
      <c r="L495" s="5"/>
      <c r="M495" s="5"/>
      <c r="N495" s="5"/>
      <c r="O495" s="5"/>
      <c r="P495" s="5"/>
      <c r="Q495" s="1632" t="s">
        <v>2764</v>
      </c>
      <c r="R495" s="1516"/>
      <c r="S495" s="1516"/>
      <c r="T495" s="1516"/>
      <c r="U495" s="1516"/>
      <c r="V495" s="1516"/>
      <c r="W495" s="1516"/>
      <c r="X495" s="1516"/>
      <c r="Y495" s="1516"/>
      <c r="Z495" s="1516"/>
      <c r="AA495" s="1516"/>
      <c r="AB495" s="1516"/>
      <c r="AC495" s="1516"/>
      <c r="AD495" s="1516"/>
      <c r="AE495" s="1516"/>
      <c r="AF495" s="1516"/>
      <c r="AG495" s="1516"/>
      <c r="AH495" s="1516"/>
      <c r="AI495" s="1516"/>
      <c r="AJ495" s="1516"/>
      <c r="AK495" s="1633"/>
      <c r="AZ495" s="3"/>
      <c r="BB495" s="3"/>
      <c r="BC495" s="3"/>
    </row>
    <row r="496" spans="1:55" ht="12.9" customHeight="1">
      <c r="B496" s="45" t="s">
        <v>395</v>
      </c>
      <c r="C496" s="5"/>
      <c r="D496" s="5"/>
      <c r="E496" s="5"/>
      <c r="F496" s="5"/>
      <c r="G496" s="5"/>
      <c r="H496" s="5"/>
      <c r="I496" s="5"/>
      <c r="J496" s="5"/>
      <c r="K496" s="5"/>
      <c r="L496" s="5"/>
      <c r="M496" s="5"/>
      <c r="N496" s="5"/>
      <c r="O496" s="5"/>
      <c r="P496" s="5"/>
      <c r="Q496" s="1632" t="s">
        <v>2765</v>
      </c>
      <c r="R496" s="1516"/>
      <c r="S496" s="1516"/>
      <c r="T496" s="1516"/>
      <c r="U496" s="1516"/>
      <c r="V496" s="1516"/>
      <c r="W496" s="1516"/>
      <c r="X496" s="1516"/>
      <c r="Y496" s="1516"/>
      <c r="Z496" s="1516"/>
      <c r="AA496" s="1516"/>
      <c r="AB496" s="1516"/>
      <c r="AC496" s="1516"/>
      <c r="AD496" s="1516"/>
      <c r="AE496" s="1516"/>
      <c r="AF496" s="1516"/>
      <c r="AG496" s="1516"/>
      <c r="AH496" s="1516"/>
      <c r="AI496" s="1516"/>
      <c r="AJ496" s="1516"/>
      <c r="AK496" s="1633"/>
      <c r="AZ496" s="3"/>
      <c r="BA496" s="3"/>
      <c r="BB496" s="3"/>
      <c r="BC496" s="3"/>
    </row>
    <row r="497" spans="1:66" ht="12.9" customHeight="1">
      <c r="B497" s="1921" t="s">
        <v>396</v>
      </c>
      <c r="C497" s="1922"/>
      <c r="D497" s="1922"/>
      <c r="E497" s="1922"/>
      <c r="F497" s="1922"/>
      <c r="G497" s="1922"/>
      <c r="H497" s="1922"/>
      <c r="I497" s="1922"/>
      <c r="J497" s="1922"/>
      <c r="K497" s="1922"/>
      <c r="L497" s="1922"/>
      <c r="M497" s="1922"/>
      <c r="N497" s="1922"/>
      <c r="O497" s="1922"/>
      <c r="P497" s="1923"/>
      <c r="Q497" s="1927" t="s">
        <v>667</v>
      </c>
      <c r="R497" s="1928"/>
      <c r="S497" s="1831" t="s">
        <v>166</v>
      </c>
      <c r="T497" s="1832"/>
      <c r="U497" s="1832"/>
      <c r="V497" s="1832"/>
      <c r="W497" s="1832"/>
      <c r="X497" s="1832"/>
      <c r="Y497" s="1832"/>
      <c r="Z497" s="1832"/>
      <c r="AA497" s="1832"/>
      <c r="AB497" s="1832"/>
      <c r="AC497" s="1832"/>
      <c r="AD497" s="1832"/>
      <c r="AE497" s="1832"/>
      <c r="AF497" s="1832"/>
      <c r="AG497" s="1832"/>
      <c r="AH497" s="1832"/>
      <c r="AI497" s="1832"/>
      <c r="AJ497" s="1832"/>
      <c r="AK497" s="1833"/>
      <c r="AZ497" s="3"/>
      <c r="BA497" s="3"/>
      <c r="BB497" s="3"/>
      <c r="BC497" s="3"/>
    </row>
    <row r="498" spans="1:66" ht="12.9" customHeight="1">
      <c r="B498" s="1924"/>
      <c r="C498" s="1925"/>
      <c r="D498" s="1925"/>
      <c r="E498" s="1925"/>
      <c r="F498" s="1925"/>
      <c r="G498" s="1925"/>
      <c r="H498" s="1925"/>
      <c r="I498" s="1925"/>
      <c r="J498" s="1925"/>
      <c r="K498" s="1925"/>
      <c r="L498" s="1925"/>
      <c r="M498" s="1925"/>
      <c r="N498" s="1925"/>
      <c r="O498" s="1925"/>
      <c r="P498" s="1926"/>
      <c r="Q498" s="1929"/>
      <c r="R498" s="1930"/>
      <c r="S498" s="1834"/>
      <c r="T498" s="1835"/>
      <c r="U498" s="1835"/>
      <c r="V498" s="1835"/>
      <c r="W498" s="1835"/>
      <c r="X498" s="1835"/>
      <c r="Y498" s="1835"/>
      <c r="Z498" s="1835"/>
      <c r="AA498" s="1835"/>
      <c r="AB498" s="1835"/>
      <c r="AC498" s="1835"/>
      <c r="AD498" s="1835"/>
      <c r="AE498" s="1835"/>
      <c r="AF498" s="1835"/>
      <c r="AG498" s="1835"/>
      <c r="AH498" s="1835"/>
      <c r="AI498" s="1835"/>
      <c r="AJ498" s="1835"/>
      <c r="AK498" s="1836"/>
      <c r="AZ498" s="3"/>
      <c r="BA498" s="3"/>
      <c r="BB498" s="3"/>
      <c r="BC498" s="3"/>
    </row>
    <row r="499" spans="1:66" ht="12.9" customHeight="1">
      <c r="B499" s="886" t="s">
        <v>1657</v>
      </c>
      <c r="C499" s="864"/>
      <c r="D499" s="864"/>
      <c r="E499" s="864"/>
      <c r="F499" s="864"/>
      <c r="G499" s="864"/>
      <c r="H499" s="864"/>
      <c r="I499" s="864"/>
      <c r="J499" s="864"/>
      <c r="K499" s="864"/>
      <c r="L499" s="864"/>
      <c r="M499" s="864"/>
      <c r="N499" s="864"/>
      <c r="O499" s="864"/>
      <c r="P499" s="864"/>
      <c r="Q499" s="1932" t="s">
        <v>667</v>
      </c>
      <c r="R499" s="1933"/>
      <c r="S499" s="1933"/>
      <c r="T499" s="1933"/>
      <c r="U499" s="1933"/>
      <c r="V499" s="1933"/>
      <c r="W499" s="1933"/>
      <c r="X499" s="1933"/>
      <c r="Y499" s="1933"/>
      <c r="Z499" s="1933"/>
      <c r="AA499" s="1933"/>
      <c r="AB499" s="1933"/>
      <c r="AC499" s="1933"/>
      <c r="AD499" s="1933"/>
      <c r="AE499" s="1933"/>
      <c r="AF499" s="1933"/>
      <c r="AG499" s="1933"/>
      <c r="AH499" s="1933"/>
      <c r="AI499" s="1933"/>
      <c r="AJ499" s="1933"/>
      <c r="AK499" s="1934"/>
      <c r="AZ499" s="3"/>
      <c r="BA499" s="3"/>
      <c r="BB499" s="3"/>
      <c r="BC499" s="3"/>
    </row>
    <row r="500" spans="1:66" ht="12.9" customHeight="1">
      <c r="B500" s="45" t="s">
        <v>397</v>
      </c>
      <c r="C500" s="5"/>
      <c r="D500" s="5"/>
      <c r="E500" s="5"/>
      <c r="F500" s="5"/>
      <c r="G500" s="5"/>
      <c r="H500" s="5"/>
      <c r="I500" s="5"/>
      <c r="J500" s="5"/>
      <c r="K500" s="5"/>
      <c r="L500" s="5"/>
      <c r="M500" s="5"/>
      <c r="N500" s="5"/>
      <c r="O500" s="5"/>
      <c r="P500" s="5"/>
      <c r="Q500" s="1632" t="s">
        <v>2766</v>
      </c>
      <c r="R500" s="1516"/>
      <c r="S500" s="1516"/>
      <c r="T500" s="1516"/>
      <c r="U500" s="1516"/>
      <c r="V500" s="1516"/>
      <c r="W500" s="1516"/>
      <c r="X500" s="1516"/>
      <c r="Y500" s="1516"/>
      <c r="Z500" s="1516"/>
      <c r="AA500" s="1516"/>
      <c r="AB500" s="1516"/>
      <c r="AC500" s="1516"/>
      <c r="AD500" s="1516"/>
      <c r="AE500" s="1516"/>
      <c r="AF500" s="1516"/>
      <c r="AG500" s="1516"/>
      <c r="AH500" s="1516"/>
      <c r="AI500" s="1516"/>
      <c r="AJ500" s="1516"/>
      <c r="AK500" s="1633"/>
      <c r="AZ500" s="3"/>
      <c r="BA500" s="3"/>
      <c r="BB500" s="3"/>
      <c r="BC500" s="3"/>
    </row>
    <row r="501" spans="1:66" ht="12.9" customHeight="1">
      <c r="B501" s="45" t="s">
        <v>398</v>
      </c>
      <c r="C501" s="5"/>
      <c r="D501" s="5"/>
      <c r="E501" s="5"/>
      <c r="F501" s="5"/>
      <c r="G501" s="5"/>
      <c r="H501" s="5"/>
      <c r="I501" s="5"/>
      <c r="J501" s="5"/>
      <c r="K501" s="5"/>
      <c r="L501" s="5"/>
      <c r="M501" s="5"/>
      <c r="N501" s="5"/>
      <c r="O501" s="5"/>
      <c r="P501" s="5"/>
      <c r="Q501" s="1632" t="s">
        <v>2797</v>
      </c>
      <c r="R501" s="1516"/>
      <c r="S501" s="1516"/>
      <c r="T501" s="1516"/>
      <c r="U501" s="1516"/>
      <c r="V501" s="1516"/>
      <c r="W501" s="1516"/>
      <c r="X501" s="1516"/>
      <c r="Y501" s="1516"/>
      <c r="Z501" s="1516"/>
      <c r="AA501" s="1516"/>
      <c r="AB501" s="1516"/>
      <c r="AC501" s="1516"/>
      <c r="AD501" s="1516"/>
      <c r="AE501" s="1516"/>
      <c r="AF501" s="1516"/>
      <c r="AG501" s="1516"/>
      <c r="AH501" s="1516"/>
      <c r="AI501" s="1516"/>
      <c r="AJ501" s="1516"/>
      <c r="AK501" s="1633"/>
      <c r="AZ501" s="3"/>
      <c r="BA501" s="3"/>
      <c r="BB501" s="3"/>
      <c r="BC501" s="3"/>
    </row>
    <row r="502" spans="1:66" ht="12.9" customHeight="1">
      <c r="B502" s="121" t="s">
        <v>1654</v>
      </c>
      <c r="C502" s="5"/>
      <c r="D502" s="5"/>
      <c r="E502" s="5"/>
      <c r="F502" s="5"/>
      <c r="G502" s="5"/>
      <c r="H502" s="5"/>
      <c r="I502" s="5"/>
      <c r="J502" s="5"/>
      <c r="K502" s="5"/>
      <c r="L502" s="5"/>
      <c r="M502" s="5"/>
      <c r="N502" s="5"/>
      <c r="O502" s="5"/>
      <c r="P502" s="5"/>
      <c r="Q502" s="1632">
        <v>160</v>
      </c>
      <c r="R502" s="1516"/>
      <c r="S502" s="1516"/>
      <c r="T502" s="1516"/>
      <c r="U502" s="1516"/>
      <c r="V502" s="1516"/>
      <c r="W502" s="1516"/>
      <c r="X502" s="1516"/>
      <c r="Y502" s="1516"/>
      <c r="Z502" s="1516"/>
      <c r="AA502" s="1516"/>
      <c r="AB502" s="1516"/>
      <c r="AC502" s="1516"/>
      <c r="AD502" s="1516"/>
      <c r="AE502" s="1516"/>
      <c r="AF502" s="1516"/>
      <c r="AG502" s="1516"/>
      <c r="AH502" s="1516"/>
      <c r="AI502" s="1516"/>
      <c r="AJ502" s="1516"/>
      <c r="AK502" s="1633"/>
      <c r="AZ502" s="3"/>
      <c r="BA502" s="3"/>
      <c r="BB502" s="3"/>
      <c r="BC502" s="3"/>
    </row>
    <row r="503" spans="1:66" ht="12.9" customHeight="1">
      <c r="B503" s="121" t="s">
        <v>1655</v>
      </c>
      <c r="C503" s="5"/>
      <c r="D503" s="5"/>
      <c r="E503" s="5"/>
      <c r="F503" s="5"/>
      <c r="G503" s="5"/>
      <c r="H503" s="5"/>
      <c r="I503" s="5"/>
      <c r="J503" s="5"/>
      <c r="K503" s="5"/>
      <c r="L503" s="5"/>
      <c r="M503" s="1582">
        <v>55</v>
      </c>
      <c r="N503" s="1583"/>
      <c r="O503" s="1583"/>
      <c r="P503" s="1584"/>
      <c r="Q503" s="121" t="s">
        <v>1656</v>
      </c>
      <c r="R503" s="5"/>
      <c r="S503" s="5"/>
      <c r="T503" s="5"/>
      <c r="U503" s="5"/>
      <c r="V503" s="5"/>
      <c r="W503" s="5"/>
      <c r="X503" s="5"/>
      <c r="Y503" s="5"/>
      <c r="Z503" s="5"/>
      <c r="AA503" s="5"/>
      <c r="AB503" s="5"/>
      <c r="AC503" s="5"/>
      <c r="AD503" s="5"/>
      <c r="AE503" s="5"/>
      <c r="AF503" s="5"/>
      <c r="AG503" s="5"/>
      <c r="AH503" s="1582">
        <v>105</v>
      </c>
      <c r="AI503" s="1583"/>
      <c r="AJ503" s="1583"/>
      <c r="AK503" s="1584"/>
      <c r="AZ503" s="3"/>
      <c r="BA503" s="3"/>
      <c r="BB503" s="3"/>
      <c r="BC503" s="3"/>
    </row>
    <row r="504" spans="1:66" ht="12.9"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 customHeight="1">
      <c r="A505" s="2" t="s">
        <v>574</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848" t="s">
        <v>400</v>
      </c>
      <c r="AD507" s="1849"/>
      <c r="AE507" s="1849"/>
      <c r="AF507" s="1849"/>
      <c r="AG507" s="1849"/>
      <c r="AH507" s="1849"/>
      <c r="AI507" s="1849"/>
      <c r="AJ507" s="1849"/>
      <c r="AK507" s="1850"/>
      <c r="AZ507" s="3"/>
      <c r="BA507" s="3"/>
      <c r="BB507" s="3"/>
      <c r="BC507" s="3"/>
      <c r="BD507" s="3"/>
      <c r="BE507" s="3"/>
      <c r="BF507" s="3"/>
      <c r="BG507" s="3"/>
      <c r="BH507" s="3"/>
      <c r="BI507" s="3"/>
      <c r="BJ507" s="3"/>
      <c r="BK507" s="3"/>
      <c r="BL507" s="3"/>
      <c r="BM507" s="3"/>
      <c r="BN507" s="3"/>
    </row>
    <row r="508" spans="1:66" ht="12.9"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848" t="s">
        <v>401</v>
      </c>
      <c r="AD508" s="1849"/>
      <c r="AE508" s="1849"/>
      <c r="AF508" s="1849"/>
      <c r="AG508" s="50" t="s">
        <v>402</v>
      </c>
      <c r="AH508" s="1849" t="s">
        <v>403</v>
      </c>
      <c r="AI508" s="1849"/>
      <c r="AJ508" s="1849"/>
      <c r="AK508" s="1850"/>
      <c r="AZ508" s="3"/>
      <c r="BA508" s="3"/>
      <c r="BB508" s="3"/>
      <c r="BC508" s="3"/>
      <c r="BD508" s="3"/>
      <c r="BE508" s="3"/>
      <c r="BF508" s="3"/>
      <c r="BG508" s="3"/>
      <c r="BH508" s="3"/>
      <c r="BI508" s="3"/>
      <c r="BJ508" s="3"/>
      <c r="BK508" s="3"/>
      <c r="BL508" s="3"/>
      <c r="BM508" s="3"/>
      <c r="BN508" s="3"/>
    </row>
    <row r="509" spans="1:66" ht="12.9" customHeight="1">
      <c r="B509" s="1521" t="s">
        <v>404</v>
      </c>
      <c r="C509" s="1522"/>
      <c r="D509" s="1522"/>
      <c r="E509" s="1522"/>
      <c r="F509" s="1522"/>
      <c r="G509" s="1522"/>
      <c r="H509" s="1523"/>
      <c r="I509" s="42" t="s">
        <v>405</v>
      </c>
      <c r="J509" s="42"/>
      <c r="K509" s="42"/>
      <c r="L509" s="42"/>
      <c r="M509" s="42"/>
      <c r="N509" s="42"/>
      <c r="O509" s="42"/>
      <c r="P509" s="42"/>
      <c r="Q509" s="42"/>
      <c r="R509" s="42"/>
      <c r="S509" s="42"/>
      <c r="T509" s="42"/>
      <c r="U509" s="42"/>
      <c r="V509" s="42"/>
      <c r="W509" s="42"/>
      <c r="AC509" s="1509" t="s">
        <v>589</v>
      </c>
      <c r="AD509" s="1510"/>
      <c r="AE509" s="1510"/>
      <c r="AF509" s="1510"/>
      <c r="AG509" s="13" t="s">
        <v>402</v>
      </c>
      <c r="AH509" s="1461">
        <v>0</v>
      </c>
      <c r="AI509" s="1461"/>
      <c r="AJ509" s="1461"/>
      <c r="AK509" s="1462"/>
      <c r="AZ509" s="3"/>
      <c r="BA509" s="3"/>
      <c r="BB509" s="3"/>
      <c r="BC509" s="3"/>
      <c r="BD509" s="3"/>
      <c r="BE509" s="3"/>
      <c r="BF509" s="3"/>
      <c r="BG509" s="3"/>
      <c r="BH509" s="3"/>
      <c r="BI509" s="3"/>
      <c r="BJ509" s="3"/>
      <c r="BK509" s="3"/>
      <c r="BL509" s="3"/>
      <c r="BM509" s="3"/>
      <c r="BN509" s="3"/>
    </row>
    <row r="510" spans="1:66" ht="12.9" customHeight="1">
      <c r="B510" s="1524"/>
      <c r="C510" s="1525"/>
      <c r="D510" s="1525"/>
      <c r="E510" s="1525"/>
      <c r="F510" s="1525"/>
      <c r="G510" s="1525"/>
      <c r="H510" s="1526"/>
      <c r="I510" s="48" t="s">
        <v>406</v>
      </c>
      <c r="J510" s="48"/>
      <c r="K510" s="48"/>
      <c r="L510" s="48"/>
      <c r="M510" s="48"/>
      <c r="N510" s="48"/>
      <c r="O510" s="48"/>
      <c r="P510" s="48"/>
      <c r="Q510" s="48"/>
      <c r="R510" s="48"/>
      <c r="S510" s="48"/>
      <c r="T510" s="48"/>
      <c r="U510" s="48"/>
      <c r="V510" s="48"/>
      <c r="W510" s="48"/>
      <c r="X510" s="48"/>
      <c r="Y510" s="48"/>
      <c r="Z510" s="48"/>
      <c r="AA510" s="48"/>
      <c r="AB510" s="48"/>
      <c r="AC510" s="1509">
        <v>5</v>
      </c>
      <c r="AD510" s="1510"/>
      <c r="AE510" s="1510"/>
      <c r="AF510" s="1510"/>
      <c r="AG510" s="38" t="s">
        <v>402</v>
      </c>
      <c r="AH510" s="1461">
        <v>2026</v>
      </c>
      <c r="AI510" s="1461"/>
      <c r="AJ510" s="1461"/>
      <c r="AK510" s="1462"/>
      <c r="AZ510" s="3"/>
      <c r="BA510" s="3"/>
      <c r="BB510" s="3"/>
      <c r="BC510" s="3"/>
      <c r="BD510" s="3"/>
      <c r="BE510" s="3"/>
      <c r="BF510" s="3"/>
      <c r="BG510" s="3"/>
      <c r="BH510" s="3"/>
      <c r="BI510" s="3"/>
      <c r="BJ510" s="3"/>
      <c r="BK510" s="3"/>
      <c r="BL510" s="3"/>
      <c r="BM510" s="3"/>
      <c r="BN510" s="3"/>
    </row>
    <row r="511" spans="1:66" ht="12.9" customHeight="1">
      <c r="B511" s="1521" t="s">
        <v>407</v>
      </c>
      <c r="C511" s="1522"/>
      <c r="D511" s="1522"/>
      <c r="E511" s="1522"/>
      <c r="F511" s="1522"/>
      <c r="G511" s="1522"/>
      <c r="H511" s="1523"/>
      <c r="I511" s="42" t="s">
        <v>408</v>
      </c>
      <c r="J511" s="42"/>
      <c r="K511" s="42"/>
      <c r="L511" s="42"/>
      <c r="M511" s="42"/>
      <c r="N511" s="42"/>
      <c r="O511" s="42"/>
      <c r="P511" s="42"/>
      <c r="Q511" s="42"/>
      <c r="R511" s="42"/>
      <c r="S511" s="42"/>
      <c r="T511" s="42"/>
      <c r="U511" s="42"/>
      <c r="V511" s="42"/>
      <c r="W511" s="42"/>
      <c r="AC511" s="1509" t="s">
        <v>589</v>
      </c>
      <c r="AD511" s="1510"/>
      <c r="AE511" s="1510"/>
      <c r="AF511" s="1510"/>
      <c r="AG511" s="13" t="s">
        <v>402</v>
      </c>
      <c r="AH511" s="1461"/>
      <c r="AI511" s="1461"/>
      <c r="AJ511" s="1461"/>
      <c r="AK511" s="1462"/>
      <c r="AZ511" s="3"/>
      <c r="BA511" s="3"/>
      <c r="BB511" s="3"/>
      <c r="BC511" s="3"/>
      <c r="BD511" s="3"/>
      <c r="BE511" s="3"/>
      <c r="BF511" s="3"/>
      <c r="BG511" s="3"/>
      <c r="BH511" s="3"/>
      <c r="BI511" s="3"/>
      <c r="BJ511" s="3"/>
      <c r="BK511" s="3"/>
      <c r="BL511" s="3"/>
      <c r="BM511" s="3"/>
      <c r="BN511" s="3"/>
    </row>
    <row r="512" spans="1:66" ht="12.9" customHeight="1">
      <c r="B512" s="1524"/>
      <c r="C512" s="1525"/>
      <c r="D512" s="1525"/>
      <c r="E512" s="1525"/>
      <c r="F512" s="1525"/>
      <c r="G512" s="1525"/>
      <c r="H512" s="1526"/>
      <c r="I512" t="s">
        <v>409</v>
      </c>
      <c r="AC512" s="1509" t="s">
        <v>589</v>
      </c>
      <c r="AD512" s="1510"/>
      <c r="AE512" s="1510"/>
      <c r="AF512" s="1510"/>
      <c r="AG512" s="13" t="s">
        <v>402</v>
      </c>
      <c r="AH512" s="1461"/>
      <c r="AI512" s="1461"/>
      <c r="AJ512" s="1461"/>
      <c r="AK512" s="1462"/>
      <c r="AZ512" s="3"/>
      <c r="BA512" s="3"/>
      <c r="BB512" s="3"/>
      <c r="BC512" s="3"/>
      <c r="BD512" s="3"/>
      <c r="BE512" s="3"/>
      <c r="BF512" s="3"/>
      <c r="BG512" s="3"/>
      <c r="BH512" s="3"/>
      <c r="BI512" s="3"/>
      <c r="BJ512" s="3"/>
      <c r="BK512" s="3"/>
      <c r="BL512" s="3"/>
      <c r="BM512" s="3"/>
      <c r="BN512" s="3"/>
    </row>
    <row r="513" spans="2:66" ht="12.9" customHeight="1">
      <c r="B513" s="1524"/>
      <c r="C513" s="1525"/>
      <c r="D513" s="1525"/>
      <c r="E513" s="1525"/>
      <c r="F513" s="1525"/>
      <c r="G513" s="1525"/>
      <c r="H513" s="1526"/>
      <c r="I513" t="s">
        <v>410</v>
      </c>
      <c r="AC513" s="1509" t="s">
        <v>589</v>
      </c>
      <c r="AD513" s="1510"/>
      <c r="AE513" s="1510"/>
      <c r="AF513" s="1510"/>
      <c r="AG513" s="13" t="s">
        <v>402</v>
      </c>
      <c r="AH513" s="1461"/>
      <c r="AI513" s="1461"/>
      <c r="AJ513" s="1461"/>
      <c r="AK513" s="1462"/>
      <c r="AZ513" s="3"/>
      <c r="BA513" s="3"/>
      <c r="BB513" s="3"/>
      <c r="BC513" s="3"/>
      <c r="BD513" s="3"/>
      <c r="BE513" s="3"/>
      <c r="BF513" s="3"/>
      <c r="BG513" s="3"/>
      <c r="BH513" s="3"/>
      <c r="BI513" s="3"/>
      <c r="BJ513" s="3"/>
      <c r="BK513" s="3"/>
      <c r="BL513" s="3"/>
      <c r="BM513" s="3"/>
      <c r="BN513" s="3"/>
    </row>
    <row r="514" spans="2:66" ht="12.9" customHeight="1">
      <c r="B514" s="1524"/>
      <c r="C514" s="1525"/>
      <c r="D514" s="1525"/>
      <c r="E514" s="1525"/>
      <c r="F514" s="1525"/>
      <c r="G514" s="1525"/>
      <c r="H514" s="1526"/>
      <c r="I514" t="s">
        <v>411</v>
      </c>
      <c r="AC514" s="1509">
        <v>5</v>
      </c>
      <c r="AD514" s="1510"/>
      <c r="AE514" s="1510"/>
      <c r="AF514" s="1510"/>
      <c r="AG514" s="13" t="s">
        <v>402</v>
      </c>
      <c r="AH514" s="1461">
        <v>2027</v>
      </c>
      <c r="AI514" s="1461"/>
      <c r="AJ514" s="1461"/>
      <c r="AK514" s="1462"/>
      <c r="AZ514" s="3"/>
      <c r="BA514" s="3"/>
      <c r="BB514" s="3"/>
      <c r="BC514" s="3"/>
      <c r="BD514" s="3"/>
      <c r="BE514" s="3"/>
      <c r="BF514" s="3"/>
      <c r="BG514" s="3"/>
      <c r="BH514" s="3"/>
      <c r="BI514" s="3"/>
      <c r="BJ514" s="3"/>
      <c r="BK514" s="3"/>
      <c r="BL514" s="3"/>
      <c r="BM514" s="3"/>
      <c r="BN514" s="3"/>
    </row>
    <row r="515" spans="2:66" ht="12.9" customHeight="1">
      <c r="B515" s="1524"/>
      <c r="C515" s="1525"/>
      <c r="D515" s="1525"/>
      <c r="E515" s="1525"/>
      <c r="F515" s="1525"/>
      <c r="G515" s="1525"/>
      <c r="H515" s="1526"/>
      <c r="I515" s="3" t="s">
        <v>412</v>
      </c>
      <c r="AC515" s="1448">
        <v>5</v>
      </c>
      <c r="AD515" s="1449"/>
      <c r="AE515" s="1449"/>
      <c r="AF515" s="1449"/>
      <c r="AG515" s="13" t="s">
        <v>402</v>
      </c>
      <c r="AH515" s="1461">
        <v>2027</v>
      </c>
      <c r="AI515" s="1461"/>
      <c r="AJ515" s="1461"/>
      <c r="AK515" s="1462"/>
      <c r="AZ515" s="3"/>
      <c r="BA515" s="3"/>
      <c r="BB515" s="3"/>
      <c r="BC515" s="3"/>
      <c r="BD515" s="3"/>
      <c r="BE515" s="3"/>
      <c r="BF515" s="3"/>
      <c r="BG515" s="3"/>
      <c r="BH515" s="3"/>
      <c r="BI515" s="3"/>
      <c r="BJ515" s="3"/>
      <c r="BK515" s="3"/>
      <c r="BL515" s="3"/>
      <c r="BM515" s="3"/>
      <c r="BN515" s="3"/>
    </row>
    <row r="516" spans="2:66" ht="12.9" customHeight="1">
      <c r="B516" s="1524"/>
      <c r="C516" s="1525"/>
      <c r="D516" s="1525"/>
      <c r="E516" s="1525"/>
      <c r="F516" s="1525"/>
      <c r="G516" s="1525"/>
      <c r="H516" s="1526"/>
      <c r="I516" s="887" t="s">
        <v>170</v>
      </c>
      <c r="J516" s="48"/>
      <c r="K516" s="48"/>
      <c r="L516" s="1840" t="s">
        <v>334</v>
      </c>
      <c r="M516" s="1841"/>
      <c r="N516" s="1841"/>
      <c r="O516" s="1841"/>
      <c r="P516" s="1841"/>
      <c r="Q516" s="1841"/>
      <c r="R516" s="1841"/>
      <c r="S516" s="1841"/>
      <c r="T516" s="1841"/>
      <c r="U516" s="1841"/>
      <c r="V516" s="1841"/>
      <c r="W516" s="1841"/>
      <c r="X516" s="1841"/>
      <c r="Y516" s="1841"/>
      <c r="Z516" s="1841"/>
      <c r="AA516" s="1841"/>
      <c r="AB516" s="1935"/>
      <c r="AC516" s="1509" t="s">
        <v>589</v>
      </c>
      <c r="AD516" s="1510"/>
      <c r="AE516" s="1510"/>
      <c r="AF516" s="1510"/>
      <c r="AG516" s="38" t="s">
        <v>402</v>
      </c>
      <c r="AH516" s="1461"/>
      <c r="AI516" s="1461"/>
      <c r="AJ516" s="1461"/>
      <c r="AK516" s="1462"/>
      <c r="AZ516" s="3"/>
      <c r="BA516" s="3"/>
      <c r="BB516" s="3"/>
      <c r="BC516" s="3"/>
      <c r="BD516" s="3"/>
      <c r="BE516" s="3"/>
      <c r="BF516" s="3"/>
      <c r="BG516" s="3"/>
      <c r="BH516" s="3"/>
      <c r="BI516" s="3"/>
      <c r="BJ516" s="3"/>
      <c r="BK516" s="3"/>
      <c r="BL516" s="3"/>
      <c r="BM516" s="3"/>
      <c r="BN516" s="3"/>
    </row>
    <row r="517" spans="2:66" ht="12.9" customHeight="1">
      <c r="B517" s="862"/>
      <c r="C517" s="130"/>
      <c r="D517" s="130"/>
      <c r="E517" s="130"/>
      <c r="F517" s="130"/>
      <c r="G517" s="130"/>
      <c r="H517" s="863"/>
      <c r="I517" s="3" t="s">
        <v>1661</v>
      </c>
      <c r="AC517" s="1862" t="s">
        <v>1181</v>
      </c>
      <c r="AD517" s="1862"/>
      <c r="AE517" s="1862"/>
      <c r="AF517" s="1862"/>
      <c r="AG517" s="13"/>
      <c r="AH517" s="1426"/>
      <c r="AI517" s="1426"/>
      <c r="AJ517" s="1426"/>
      <c r="AK517" s="1511"/>
      <c r="AZ517" s="3"/>
      <c r="BA517" s="3"/>
      <c r="BB517" s="3"/>
      <c r="BC517" s="3"/>
      <c r="BD517" s="3"/>
      <c r="BE517" s="3"/>
      <c r="BF517" s="3"/>
      <c r="BG517" s="3"/>
      <c r="BH517" s="3"/>
      <c r="BI517" s="3"/>
      <c r="BJ517" s="3"/>
      <c r="BK517" s="3"/>
      <c r="BL517" s="3"/>
      <c r="BM517" s="3"/>
      <c r="BN517" s="3"/>
    </row>
    <row r="518" spans="2:66" ht="12.9" customHeight="1">
      <c r="B518" s="862"/>
      <c r="C518" s="130"/>
      <c r="D518" s="130"/>
      <c r="E518" s="130"/>
      <c r="F518" s="130"/>
      <c r="G518" s="130"/>
      <c r="H518" s="863"/>
      <c r="I518" t="s">
        <v>1658</v>
      </c>
      <c r="AC518" s="1448"/>
      <c r="AD518" s="1449"/>
      <c r="AE518" s="1449"/>
      <c r="AF518" s="1450"/>
      <c r="AG518" s="13"/>
      <c r="AH518" s="1426"/>
      <c r="AI518" s="1426"/>
      <c r="AJ518" s="1426"/>
      <c r="AK518" s="1511"/>
      <c r="AZ518" s="3"/>
      <c r="BA518" s="3"/>
      <c r="BB518" s="3"/>
      <c r="BC518" s="3"/>
      <c r="BD518" s="3"/>
      <c r="BE518" s="3"/>
      <c r="BF518" s="3"/>
      <c r="BG518" s="3"/>
      <c r="BH518" s="3"/>
      <c r="BI518" s="3"/>
      <c r="BJ518" s="3"/>
      <c r="BK518" s="3"/>
      <c r="BL518" s="3"/>
      <c r="BM518" s="3"/>
      <c r="BN518" s="3"/>
    </row>
    <row r="519" spans="2:66" ht="12.9"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918"/>
      <c r="AD520" s="1919"/>
      <c r="AE520" s="1919"/>
      <c r="AF520" s="1920"/>
      <c r="AG520" s="38"/>
      <c r="AH520" s="1846"/>
      <c r="AI520" s="1846"/>
      <c r="AJ520" s="1846"/>
      <c r="AK520" s="1847"/>
      <c r="AZ520" s="3"/>
      <c r="BA520" s="3"/>
      <c r="BB520" s="3"/>
      <c r="BC520" s="3"/>
      <c r="BD520" s="3"/>
      <c r="BE520" s="3"/>
      <c r="BF520" s="3"/>
      <c r="BG520" s="3"/>
      <c r="BH520" s="3"/>
      <c r="BI520" s="3"/>
      <c r="BJ520" s="3"/>
      <c r="BK520" s="3"/>
      <c r="BL520" s="3"/>
      <c r="BM520" s="3"/>
      <c r="BN520" s="3" t="s">
        <v>1181</v>
      </c>
    </row>
    <row r="521" spans="2:66" ht="12.9"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916" t="s">
        <v>401</v>
      </c>
      <c r="AD521" s="1747"/>
      <c r="AE521" s="1747"/>
      <c r="AF521" s="1747"/>
      <c r="AG521" s="38" t="s">
        <v>402</v>
      </c>
      <c r="AH521" s="1747" t="s">
        <v>403</v>
      </c>
      <c r="AI521" s="1747"/>
      <c r="AJ521" s="1747"/>
      <c r="AK521" s="1931"/>
      <c r="AZ521" s="3"/>
      <c r="BA521" s="3"/>
      <c r="BB521" s="3"/>
      <c r="BC521" s="3"/>
      <c r="BD521" s="3"/>
      <c r="BE521" s="3"/>
      <c r="BF521" s="3"/>
      <c r="BG521" s="3"/>
      <c r="BH521" s="3"/>
      <c r="BI521" s="3"/>
      <c r="BJ521" s="3"/>
      <c r="BK521" s="3"/>
      <c r="BL521" s="3"/>
      <c r="BM521" s="3"/>
      <c r="BN521" s="3" t="s">
        <v>2052</v>
      </c>
    </row>
    <row r="522" spans="2:66" ht="12.9" customHeight="1">
      <c r="B522" s="1521" t="s">
        <v>413</v>
      </c>
      <c r="C522" s="1522"/>
      <c r="D522" s="1522"/>
      <c r="E522" s="1522"/>
      <c r="F522" s="1522"/>
      <c r="G522" s="1522"/>
      <c r="H522" s="1523"/>
      <c r="I522" s="42" t="s">
        <v>414</v>
      </c>
      <c r="J522" s="42"/>
      <c r="K522" s="42"/>
      <c r="L522" s="42"/>
      <c r="M522" s="42"/>
      <c r="N522" s="42"/>
      <c r="O522" s="42"/>
      <c r="P522" s="42"/>
      <c r="Q522" s="42"/>
      <c r="R522" s="42"/>
      <c r="S522" s="42"/>
      <c r="T522" s="42"/>
      <c r="U522" s="42"/>
      <c r="V522" s="42"/>
      <c r="W522" s="42"/>
      <c r="AC522" s="1509">
        <v>9</v>
      </c>
      <c r="AD522" s="1510"/>
      <c r="AE522" s="1510"/>
      <c r="AF522" s="1510"/>
      <c r="AG522" s="13" t="s">
        <v>402</v>
      </c>
      <c r="AH522" s="1461">
        <v>2026</v>
      </c>
      <c r="AI522" s="1461"/>
      <c r="AJ522" s="1461"/>
      <c r="AK522" s="1462"/>
      <c r="AZ522" s="3"/>
      <c r="BA522" s="3"/>
      <c r="BB522" s="3"/>
      <c r="BC522" s="3"/>
      <c r="BD522" s="3"/>
      <c r="BE522" s="3"/>
      <c r="BF522" s="3"/>
      <c r="BG522" s="3"/>
      <c r="BH522" s="3"/>
      <c r="BI522" s="3"/>
      <c r="BJ522" s="3"/>
      <c r="BK522" s="3"/>
      <c r="BL522" s="3"/>
      <c r="BM522" s="3"/>
      <c r="BN522" s="3" t="s">
        <v>2053</v>
      </c>
    </row>
    <row r="523" spans="2:66" ht="12.9" customHeight="1">
      <c r="B523" s="1524"/>
      <c r="C523" s="1525"/>
      <c r="D523" s="1525"/>
      <c r="E523" s="1525"/>
      <c r="F523" s="1525"/>
      <c r="G523" s="1525"/>
      <c r="H523" s="1526"/>
      <c r="I523" t="s">
        <v>415</v>
      </c>
      <c r="AC523" s="1509">
        <v>9</v>
      </c>
      <c r="AD523" s="1510"/>
      <c r="AE523" s="1510"/>
      <c r="AF523" s="1510"/>
      <c r="AG523" s="13" t="s">
        <v>402</v>
      </c>
      <c r="AH523" s="1461">
        <v>2026</v>
      </c>
      <c r="AI523" s="1461"/>
      <c r="AJ523" s="1461"/>
      <c r="AK523" s="1462"/>
      <c r="AZ523" s="3"/>
      <c r="BA523" s="3"/>
      <c r="BB523" s="3"/>
      <c r="BC523" s="3"/>
      <c r="BD523" s="3"/>
      <c r="BE523" s="3"/>
      <c r="BF523" s="3"/>
      <c r="BG523" s="3"/>
      <c r="BH523" s="3"/>
      <c r="BI523" s="3"/>
      <c r="BJ523" s="3"/>
      <c r="BK523" s="3"/>
      <c r="BL523" s="3"/>
      <c r="BM523" s="3"/>
      <c r="BN523" s="3" t="s">
        <v>2054</v>
      </c>
    </row>
    <row r="524" spans="2:66" ht="12.9" customHeight="1">
      <c r="B524" s="1524"/>
      <c r="C524" s="1525"/>
      <c r="D524" s="1525"/>
      <c r="E524" s="1525"/>
      <c r="F524" s="1525"/>
      <c r="G524" s="1525"/>
      <c r="H524" s="1526"/>
      <c r="I524" s="48" t="s">
        <v>416</v>
      </c>
      <c r="J524" s="48"/>
      <c r="K524" s="48"/>
      <c r="L524" s="48"/>
      <c r="M524" s="48"/>
      <c r="N524" s="48"/>
      <c r="O524" s="48"/>
      <c r="P524" s="48"/>
      <c r="Q524" s="48"/>
      <c r="R524" s="48"/>
      <c r="S524" s="48"/>
      <c r="T524" s="48"/>
      <c r="U524" s="48"/>
      <c r="V524" s="48"/>
      <c r="W524" s="48"/>
      <c r="X524" s="48"/>
      <c r="Y524" s="48"/>
      <c r="Z524" s="48"/>
      <c r="AA524" s="48"/>
      <c r="AB524" s="48"/>
      <c r="AC524" s="1509">
        <v>6</v>
      </c>
      <c r="AD524" s="1510"/>
      <c r="AE524" s="1510"/>
      <c r="AF524" s="1510"/>
      <c r="AG524" s="38" t="s">
        <v>402</v>
      </c>
      <c r="AH524" s="1461">
        <v>2027</v>
      </c>
      <c r="AI524" s="1461"/>
      <c r="AJ524" s="1461"/>
      <c r="AK524" s="1462"/>
      <c r="AZ524" s="3"/>
      <c r="BA524" s="3"/>
      <c r="BB524" s="3"/>
      <c r="BC524" s="3"/>
      <c r="BD524" s="3"/>
      <c r="BE524" s="3"/>
      <c r="BF524" s="3"/>
      <c r="BG524" s="3"/>
      <c r="BH524" s="3"/>
      <c r="BI524" s="3"/>
      <c r="BJ524" s="3"/>
      <c r="BK524" s="3"/>
      <c r="BL524" s="3"/>
      <c r="BM524" s="3"/>
      <c r="BN524" s="3" t="s">
        <v>2055</v>
      </c>
    </row>
    <row r="525" spans="2:66" ht="12.9" customHeight="1">
      <c r="B525" s="1521" t="s">
        <v>417</v>
      </c>
      <c r="C525" s="1522"/>
      <c r="D525" s="1522"/>
      <c r="E525" s="1522"/>
      <c r="F525" s="1522"/>
      <c r="G525" s="1522"/>
      <c r="H525" s="1523"/>
      <c r="I525" s="42" t="s">
        <v>414</v>
      </c>
      <c r="J525" s="42"/>
      <c r="K525" s="42"/>
      <c r="L525" s="42"/>
      <c r="M525" s="42"/>
      <c r="N525" s="42"/>
      <c r="O525" s="42"/>
      <c r="P525" s="42"/>
      <c r="Q525" s="42"/>
      <c r="R525" s="42"/>
      <c r="S525" s="42"/>
      <c r="T525" s="42"/>
      <c r="U525" s="42"/>
      <c r="V525" s="42"/>
      <c r="W525" s="42"/>
      <c r="X525" s="42"/>
      <c r="Y525" s="42"/>
      <c r="Z525" s="42"/>
      <c r="AA525" s="42"/>
      <c r="AB525" s="42"/>
      <c r="AC525" s="1448">
        <v>9</v>
      </c>
      <c r="AD525" s="1449"/>
      <c r="AE525" s="1449"/>
      <c r="AF525" s="1449"/>
      <c r="AG525" s="129" t="s">
        <v>402</v>
      </c>
      <c r="AH525" s="1461">
        <v>2026</v>
      </c>
      <c r="AI525" s="1461"/>
      <c r="AJ525" s="1461"/>
      <c r="AK525" s="1462"/>
      <c r="AZ525" s="3"/>
      <c r="BB525" s="3"/>
      <c r="BC525" s="3"/>
      <c r="BD525" s="3"/>
      <c r="BE525" s="3"/>
      <c r="BF525" s="3"/>
      <c r="BG525" s="3"/>
      <c r="BH525" s="3"/>
      <c r="BI525" s="3"/>
      <c r="BJ525" s="3"/>
      <c r="BK525" s="3"/>
      <c r="BL525" s="3"/>
      <c r="BM525" s="3"/>
      <c r="BN525" s="3" t="s">
        <v>2056</v>
      </c>
    </row>
    <row r="526" spans="2:66" ht="12.9" customHeight="1">
      <c r="B526" s="1524"/>
      <c r="C526" s="1525"/>
      <c r="D526" s="1525"/>
      <c r="E526" s="1525"/>
      <c r="F526" s="1525"/>
      <c r="G526" s="1525"/>
      <c r="H526" s="1526"/>
      <c r="I526" t="s">
        <v>415</v>
      </c>
      <c r="AC526" s="1509">
        <v>9</v>
      </c>
      <c r="AD526" s="1510"/>
      <c r="AE526" s="1510"/>
      <c r="AF526" s="1510"/>
      <c r="AG526" s="13" t="s">
        <v>402</v>
      </c>
      <c r="AH526" s="1461">
        <v>2026</v>
      </c>
      <c r="AI526" s="1461"/>
      <c r="AJ526" s="1461"/>
      <c r="AK526" s="1462"/>
      <c r="BB526" s="3"/>
      <c r="BC526" s="3"/>
      <c r="BD526" s="3"/>
      <c r="BE526" s="3"/>
      <c r="BF526" s="3"/>
      <c r="BG526" s="3"/>
      <c r="BH526" s="3"/>
      <c r="BI526" s="3"/>
      <c r="BJ526" s="3"/>
      <c r="BK526" s="3"/>
      <c r="BL526" s="3"/>
      <c r="BM526" s="3"/>
      <c r="BN526" s="3" t="s">
        <v>2057</v>
      </c>
    </row>
    <row r="527" spans="2:66" ht="12.9" customHeight="1">
      <c r="B527" s="1527"/>
      <c r="C527" s="1528"/>
      <c r="D527" s="1528"/>
      <c r="E527" s="1528"/>
      <c r="F527" s="1528"/>
      <c r="G527" s="1528"/>
      <c r="H527" s="1529"/>
      <c r="I527" s="48" t="s">
        <v>416</v>
      </c>
      <c r="J527" s="48"/>
      <c r="K527" s="48"/>
      <c r="L527" s="48"/>
      <c r="M527" s="48"/>
      <c r="N527" s="48"/>
      <c r="O527" s="48"/>
      <c r="P527" s="48"/>
      <c r="Q527" s="48"/>
      <c r="R527" s="48"/>
      <c r="S527" s="48"/>
      <c r="T527" s="48"/>
      <c r="U527" s="48"/>
      <c r="V527" s="48"/>
      <c r="W527" s="48"/>
      <c r="X527" s="48"/>
      <c r="Y527" s="48"/>
      <c r="Z527" s="48"/>
      <c r="AA527" s="48"/>
      <c r="AB527" s="48"/>
      <c r="AC527" s="1509">
        <v>12</v>
      </c>
      <c r="AD527" s="1510"/>
      <c r="AE527" s="1510"/>
      <c r="AF527" s="1510"/>
      <c r="AG527" s="38" t="s">
        <v>402</v>
      </c>
      <c r="AH527" s="1461">
        <v>2029</v>
      </c>
      <c r="AI527" s="1461"/>
      <c r="AJ527" s="1461"/>
      <c r="AK527" s="1462"/>
      <c r="BB527" s="3"/>
      <c r="BC527" s="3"/>
      <c r="BD527" s="3"/>
      <c r="BE527" s="3"/>
      <c r="BF527" s="3"/>
      <c r="BG527" s="3"/>
      <c r="BH527" s="3"/>
      <c r="BI527" s="3"/>
      <c r="BJ527" s="3"/>
      <c r="BK527" s="3"/>
      <c r="BL527" s="3"/>
      <c r="BM527" s="3"/>
      <c r="BN527" s="3" t="s">
        <v>2058</v>
      </c>
    </row>
    <row r="528" spans="2:66" ht="12.9" customHeight="1">
      <c r="B528" s="1521" t="s">
        <v>418</v>
      </c>
      <c r="C528" s="1522"/>
      <c r="D528" s="1522"/>
      <c r="E528" s="1522"/>
      <c r="F528" s="1522"/>
      <c r="G528" s="1522"/>
      <c r="H528" s="1523"/>
      <c r="I528" s="41" t="s">
        <v>419</v>
      </c>
      <c r="J528" s="42"/>
      <c r="K528" s="42"/>
      <c r="L528" s="42"/>
      <c r="M528" s="42"/>
      <c r="N528" s="42"/>
      <c r="O528" s="1840" t="s">
        <v>334</v>
      </c>
      <c r="P528" s="1841"/>
      <c r="Q528" s="1841"/>
      <c r="R528" s="1841"/>
      <c r="S528" s="1841"/>
      <c r="T528" s="1841"/>
      <c r="U528" s="1841"/>
      <c r="V528" s="1841"/>
      <c r="W528" s="1841"/>
      <c r="X528" s="1841"/>
      <c r="Y528" s="1841"/>
      <c r="Z528" s="1841"/>
      <c r="AA528" s="1841"/>
      <c r="AB528" s="58"/>
      <c r="AC528" s="1448" t="s">
        <v>589</v>
      </c>
      <c r="AD528" s="1449"/>
      <c r="AE528" s="1449"/>
      <c r="AF528" s="1449"/>
      <c r="AG528" s="129" t="s">
        <v>402</v>
      </c>
      <c r="AH528" s="1461"/>
      <c r="AI528" s="1461"/>
      <c r="AJ528" s="1461"/>
      <c r="AK528" s="1462"/>
      <c r="AZ528" s="3"/>
      <c r="BB528" s="3"/>
      <c r="BC528" s="3"/>
      <c r="BD528" s="3"/>
      <c r="BE528" s="3"/>
      <c r="BF528" s="3"/>
      <c r="BG528" s="3"/>
      <c r="BH528" s="3"/>
      <c r="BI528" s="3"/>
      <c r="BJ528" s="3"/>
      <c r="BK528" s="3"/>
      <c r="BL528" s="3"/>
      <c r="BM528" s="3"/>
      <c r="BN528" s="3" t="s">
        <v>2059</v>
      </c>
    </row>
    <row r="529" spans="2:66" ht="12.9" customHeight="1">
      <c r="B529" s="1524"/>
      <c r="C529" s="1525"/>
      <c r="D529" s="1525"/>
      <c r="E529" s="1525"/>
      <c r="F529" s="1525"/>
      <c r="G529" s="1525"/>
      <c r="H529" s="1526"/>
      <c r="I529" s="114" t="s">
        <v>420</v>
      </c>
      <c r="AB529" s="65"/>
      <c r="AC529" s="1509" t="s">
        <v>589</v>
      </c>
      <c r="AD529" s="1510"/>
      <c r="AE529" s="1510"/>
      <c r="AF529" s="1510"/>
      <c r="AG529" s="13" t="s">
        <v>402</v>
      </c>
      <c r="AH529" s="1461"/>
      <c r="AI529" s="1461"/>
      <c r="AJ529" s="1461"/>
      <c r="AK529" s="1462"/>
      <c r="AZ529" s="3"/>
      <c r="BB529" s="3"/>
      <c r="BC529" s="3"/>
      <c r="BD529" s="3"/>
      <c r="BE529" s="3"/>
      <c r="BF529" s="3"/>
      <c r="BG529" s="3"/>
      <c r="BH529" s="3"/>
      <c r="BI529" s="3"/>
      <c r="BJ529" s="3"/>
      <c r="BK529" s="3"/>
      <c r="BL529" s="3"/>
      <c r="BM529" s="3"/>
      <c r="BN529" s="3" t="s">
        <v>2060</v>
      </c>
    </row>
    <row r="530" spans="2:66" ht="12.9" customHeight="1">
      <c r="B530" s="1524"/>
      <c r="C530" s="1525"/>
      <c r="D530" s="1525"/>
      <c r="E530" s="1525"/>
      <c r="F530" s="1525"/>
      <c r="G530" s="1525"/>
      <c r="H530" s="1526"/>
      <c r="I530" s="47" t="s">
        <v>421</v>
      </c>
      <c r="J530" s="48"/>
      <c r="K530" s="48"/>
      <c r="L530" s="48"/>
      <c r="M530" s="48"/>
      <c r="N530" s="48"/>
      <c r="O530" s="48"/>
      <c r="P530" s="48"/>
      <c r="Q530" s="48"/>
      <c r="R530" s="48"/>
      <c r="S530" s="48"/>
      <c r="T530" s="48"/>
      <c r="U530" s="48"/>
      <c r="V530" s="48"/>
      <c r="W530" s="48"/>
      <c r="X530" s="48"/>
      <c r="Y530" s="48"/>
      <c r="Z530" s="48"/>
      <c r="AA530" s="48"/>
      <c r="AB530" s="49"/>
      <c r="AC530" s="1509" t="s">
        <v>589</v>
      </c>
      <c r="AD530" s="1510"/>
      <c r="AE530" s="1510"/>
      <c r="AF530" s="1510"/>
      <c r="AG530" s="38" t="s">
        <v>402</v>
      </c>
      <c r="AH530" s="1461"/>
      <c r="AI530" s="1461"/>
      <c r="AJ530" s="1461"/>
      <c r="AK530" s="1462"/>
      <c r="AZ530" s="3"/>
      <c r="BA530" s="3"/>
      <c r="BB530" s="3"/>
      <c r="BC530" s="3"/>
      <c r="BD530" s="3"/>
      <c r="BE530" s="3"/>
      <c r="BF530" s="3"/>
      <c r="BG530" s="3"/>
      <c r="BH530" s="3"/>
      <c r="BI530" s="3"/>
      <c r="BJ530" s="3"/>
      <c r="BK530" s="3"/>
      <c r="BL530" s="3"/>
      <c r="BM530" s="3"/>
      <c r="BN530" s="3" t="s">
        <v>2061</v>
      </c>
    </row>
    <row r="531" spans="2:66" ht="12.9" customHeight="1">
      <c r="B531" s="1524"/>
      <c r="C531" s="1525"/>
      <c r="D531" s="1525"/>
      <c r="E531" s="1525"/>
      <c r="F531" s="1525"/>
      <c r="G531" s="1525"/>
      <c r="H531" s="1526"/>
      <c r="I531" s="42" t="s">
        <v>422</v>
      </c>
      <c r="J531" s="42"/>
      <c r="K531" s="42"/>
      <c r="L531" s="42"/>
      <c r="M531" s="42"/>
      <c r="N531" s="42"/>
      <c r="O531" s="1840" t="s">
        <v>334</v>
      </c>
      <c r="P531" s="1841"/>
      <c r="Q531" s="1841"/>
      <c r="R531" s="1841"/>
      <c r="S531" s="1841"/>
      <c r="T531" s="1841"/>
      <c r="U531" s="1841"/>
      <c r="V531" s="1841"/>
      <c r="W531" s="1841"/>
      <c r="X531" s="1841"/>
      <c r="Y531" s="1841"/>
      <c r="Z531" s="1841"/>
      <c r="AA531" s="1841"/>
      <c r="AC531" s="1509" t="s">
        <v>589</v>
      </c>
      <c r="AD531" s="1510"/>
      <c r="AE531" s="1510"/>
      <c r="AF531" s="1510"/>
      <c r="AG531" s="13" t="s">
        <v>402</v>
      </c>
      <c r="AH531" s="1461"/>
      <c r="AI531" s="1461"/>
      <c r="AJ531" s="1461"/>
      <c r="AK531" s="1462"/>
      <c r="AZ531" s="3"/>
      <c r="BA531" s="3"/>
      <c r="BB531" s="3"/>
      <c r="BC531" s="3"/>
      <c r="BD531" s="3"/>
      <c r="BE531" s="3"/>
      <c r="BF531" s="3"/>
      <c r="BG531" s="3"/>
      <c r="BH531" s="3"/>
      <c r="BI531" s="3"/>
      <c r="BJ531" s="3"/>
      <c r="BK531" s="3"/>
      <c r="BL531" s="3"/>
      <c r="BM531" s="3"/>
      <c r="BN531" s="3" t="s">
        <v>2062</v>
      </c>
    </row>
    <row r="532" spans="2:66" ht="12.9" customHeight="1">
      <c r="B532" s="1524"/>
      <c r="C532" s="1525"/>
      <c r="D532" s="1525"/>
      <c r="E532" s="1525"/>
      <c r="F532" s="1525"/>
      <c r="G532" s="1525"/>
      <c r="H532" s="1526"/>
      <c r="I532" t="s">
        <v>420</v>
      </c>
      <c r="AC532" s="1509" t="s">
        <v>589</v>
      </c>
      <c r="AD532" s="1510"/>
      <c r="AE532" s="1510"/>
      <c r="AF532" s="1510"/>
      <c r="AG532" s="13" t="s">
        <v>402</v>
      </c>
      <c r="AH532" s="1461"/>
      <c r="AI532" s="1461"/>
      <c r="AJ532" s="1461"/>
      <c r="AK532" s="1462"/>
      <c r="AZ532" s="3"/>
      <c r="BA532" s="3"/>
      <c r="BB532" s="3"/>
      <c r="BC532" s="3"/>
      <c r="BD532" s="3"/>
      <c r="BE532" s="3"/>
      <c r="BF532" s="3"/>
      <c r="BG532" s="3"/>
      <c r="BH532" s="3"/>
      <c r="BI532" s="3"/>
      <c r="BJ532" s="3"/>
      <c r="BK532" s="3"/>
      <c r="BL532" s="3"/>
      <c r="BM532" s="3"/>
      <c r="BN532" s="3" t="s">
        <v>2063</v>
      </c>
    </row>
    <row r="533" spans="2:66" ht="12.9" customHeight="1">
      <c r="B533" s="1524"/>
      <c r="C533" s="1525"/>
      <c r="D533" s="1525"/>
      <c r="E533" s="1525"/>
      <c r="F533" s="1525"/>
      <c r="G533" s="1525"/>
      <c r="H533" s="1526"/>
      <c r="I533" s="48" t="s">
        <v>421</v>
      </c>
      <c r="J533" s="48"/>
      <c r="K533" s="48"/>
      <c r="L533" s="48"/>
      <c r="M533" s="48"/>
      <c r="N533" s="48"/>
      <c r="O533" s="48"/>
      <c r="P533" s="48"/>
      <c r="Q533" s="48"/>
      <c r="R533" s="48"/>
      <c r="S533" s="48"/>
      <c r="T533" s="48"/>
      <c r="U533" s="48"/>
      <c r="V533" s="48"/>
      <c r="W533" s="48"/>
      <c r="X533" s="48"/>
      <c r="Y533" s="48"/>
      <c r="Z533" s="48"/>
      <c r="AA533" s="48"/>
      <c r="AB533" s="48"/>
      <c r="AC533" s="1509" t="s">
        <v>589</v>
      </c>
      <c r="AD533" s="1510"/>
      <c r="AE533" s="1510"/>
      <c r="AF533" s="1510"/>
      <c r="AG533" s="38" t="s">
        <v>402</v>
      </c>
      <c r="AH533" s="1461"/>
      <c r="AI533" s="1461"/>
      <c r="AJ533" s="1461"/>
      <c r="AK533" s="1462"/>
      <c r="AZ533" s="3"/>
      <c r="BA533" s="3"/>
      <c r="BB533" s="3"/>
      <c r="BC533" s="3"/>
      <c r="BD533" s="3"/>
      <c r="BE533" s="3"/>
      <c r="BF533" s="3"/>
      <c r="BG533" s="3"/>
      <c r="BH533" s="3"/>
      <c r="BI533" s="3"/>
      <c r="BJ533" s="3"/>
      <c r="BK533" s="3"/>
      <c r="BL533" s="3"/>
      <c r="BM533" s="3"/>
      <c r="BN533" s="3" t="s">
        <v>2064</v>
      </c>
    </row>
    <row r="534" spans="2:66" ht="12.9" customHeight="1">
      <c r="B534" s="1524"/>
      <c r="C534" s="1525"/>
      <c r="D534" s="1525"/>
      <c r="E534" s="1525"/>
      <c r="F534" s="1525"/>
      <c r="G534" s="1525"/>
      <c r="H534" s="1526"/>
      <c r="I534" s="42" t="s">
        <v>422</v>
      </c>
      <c r="J534" s="42"/>
      <c r="K534" s="42"/>
      <c r="L534" s="42"/>
      <c r="M534" s="42"/>
      <c r="N534" s="42"/>
      <c r="O534" s="1840" t="s">
        <v>334</v>
      </c>
      <c r="P534" s="1841"/>
      <c r="Q534" s="1841"/>
      <c r="R534" s="1841"/>
      <c r="S534" s="1841"/>
      <c r="T534" s="1841"/>
      <c r="U534" s="1841"/>
      <c r="V534" s="1841"/>
      <c r="W534" s="1841"/>
      <c r="X534" s="1841"/>
      <c r="Y534" s="1841"/>
      <c r="Z534" s="1841"/>
      <c r="AA534" s="1841"/>
      <c r="AC534" s="1509" t="s">
        <v>589</v>
      </c>
      <c r="AD534" s="1510"/>
      <c r="AE534" s="1510"/>
      <c r="AF534" s="1510"/>
      <c r="AG534" s="13" t="s">
        <v>402</v>
      </c>
      <c r="AH534" s="1461"/>
      <c r="AI534" s="1461"/>
      <c r="AJ534" s="1461"/>
      <c r="AK534" s="1462"/>
      <c r="AZ534" s="3"/>
      <c r="BA534" s="3"/>
      <c r="BB534" s="3"/>
      <c r="BC534" s="3"/>
      <c r="BD534" s="3"/>
      <c r="BE534" s="3"/>
      <c r="BF534" s="3"/>
      <c r="BG534" s="3"/>
      <c r="BH534" s="3"/>
      <c r="BI534" s="3"/>
      <c r="BJ534" s="3"/>
      <c r="BK534" s="3"/>
      <c r="BL534" s="3"/>
      <c r="BM534" s="3"/>
      <c r="BN534" s="3" t="s">
        <v>2065</v>
      </c>
    </row>
    <row r="535" spans="2:66" ht="12.9" customHeight="1">
      <c r="B535" s="1524"/>
      <c r="C535" s="1525"/>
      <c r="D535" s="1525"/>
      <c r="E535" s="1525"/>
      <c r="F535" s="1525"/>
      <c r="G535" s="1525"/>
      <c r="H535" s="1526"/>
      <c r="I535" t="s">
        <v>420</v>
      </c>
      <c r="AC535" s="1509" t="s">
        <v>589</v>
      </c>
      <c r="AD535" s="1510"/>
      <c r="AE535" s="1510"/>
      <c r="AF535" s="1510"/>
      <c r="AG535" s="13" t="s">
        <v>402</v>
      </c>
      <c r="AH535" s="1461"/>
      <c r="AI535" s="1461"/>
      <c r="AJ535" s="1461"/>
      <c r="AK535" s="1462"/>
      <c r="AZ535" s="3"/>
      <c r="BA535" s="3"/>
      <c r="BB535" s="3"/>
      <c r="BC535" s="3"/>
      <c r="BD535" s="3"/>
      <c r="BE535" s="3"/>
      <c r="BF535" s="3"/>
      <c r="BG535" s="3"/>
      <c r="BH535" s="3"/>
      <c r="BI535" s="3"/>
      <c r="BJ535" s="3"/>
      <c r="BK535" s="3"/>
      <c r="BL535" s="3"/>
      <c r="BM535" s="3"/>
      <c r="BN535" s="3" t="s">
        <v>2066</v>
      </c>
    </row>
    <row r="536" spans="2:66" ht="12.9" customHeight="1">
      <c r="B536" s="1524"/>
      <c r="C536" s="1525"/>
      <c r="D536" s="1525"/>
      <c r="E536" s="1525"/>
      <c r="F536" s="1525"/>
      <c r="G536" s="1525"/>
      <c r="H536" s="1526"/>
      <c r="I536" s="48" t="s">
        <v>421</v>
      </c>
      <c r="J536" s="48"/>
      <c r="K536" s="48"/>
      <c r="L536" s="48"/>
      <c r="M536" s="48"/>
      <c r="N536" s="48"/>
      <c r="O536" s="48"/>
      <c r="P536" s="48"/>
      <c r="Q536" s="48"/>
      <c r="R536" s="48"/>
      <c r="S536" s="48"/>
      <c r="T536" s="48"/>
      <c r="U536" s="48"/>
      <c r="V536" s="48"/>
      <c r="W536" s="48"/>
      <c r="X536" s="48"/>
      <c r="Y536" s="48"/>
      <c r="Z536" s="48"/>
      <c r="AA536" s="48"/>
      <c r="AB536" s="48"/>
      <c r="AC536" s="1509" t="s">
        <v>589</v>
      </c>
      <c r="AD536" s="1510"/>
      <c r="AE536" s="1510"/>
      <c r="AF536" s="1510"/>
      <c r="AG536" s="38" t="s">
        <v>402</v>
      </c>
      <c r="AH536" s="1461"/>
      <c r="AI536" s="1461"/>
      <c r="AJ536" s="1461"/>
      <c r="AK536" s="1462"/>
      <c r="AZ536" s="3"/>
      <c r="BA536" s="3"/>
      <c r="BB536" s="3"/>
      <c r="BC536" s="3"/>
      <c r="BD536" s="3"/>
      <c r="BE536" s="3"/>
      <c r="BF536" s="3"/>
      <c r="BG536" s="3"/>
      <c r="BH536" s="3"/>
      <c r="BI536" s="3"/>
      <c r="BJ536" s="3"/>
      <c r="BK536" s="3"/>
      <c r="BL536" s="3"/>
      <c r="BM536" s="3"/>
      <c r="BN536" s="3" t="s">
        <v>2067</v>
      </c>
    </row>
    <row r="537" spans="2:66" ht="12.9" customHeight="1">
      <c r="B537" s="1524"/>
      <c r="C537" s="1525"/>
      <c r="D537" s="1525"/>
      <c r="E537" s="1525"/>
      <c r="F537" s="1525"/>
      <c r="G537" s="1525"/>
      <c r="H537" s="1526"/>
      <c r="I537" s="42" t="s">
        <v>422</v>
      </c>
      <c r="J537" s="42"/>
      <c r="K537" s="42"/>
      <c r="L537" s="42"/>
      <c r="M537" s="42"/>
      <c r="N537" s="42"/>
      <c r="O537" s="1840" t="s">
        <v>334</v>
      </c>
      <c r="P537" s="1841"/>
      <c r="Q537" s="1841"/>
      <c r="R537" s="1841"/>
      <c r="S537" s="1841"/>
      <c r="T537" s="1841"/>
      <c r="U537" s="1841"/>
      <c r="V537" s="1841"/>
      <c r="W537" s="1841"/>
      <c r="X537" s="1841"/>
      <c r="Y537" s="1841"/>
      <c r="Z537" s="1841"/>
      <c r="AA537" s="1841"/>
      <c r="AC537" s="1509" t="s">
        <v>589</v>
      </c>
      <c r="AD537" s="1510"/>
      <c r="AE537" s="1510"/>
      <c r="AF537" s="1510"/>
      <c r="AG537" s="13" t="s">
        <v>402</v>
      </c>
      <c r="AH537" s="1461"/>
      <c r="AI537" s="1461"/>
      <c r="AJ537" s="1461"/>
      <c r="AK537" s="1462"/>
      <c r="AZ537" s="3"/>
      <c r="BA537" s="3"/>
      <c r="BB537" s="3"/>
      <c r="BC537" s="3"/>
      <c r="BD537" s="3"/>
      <c r="BE537" s="3"/>
      <c r="BF537" s="3"/>
      <c r="BG537" s="3"/>
      <c r="BH537" s="3"/>
      <c r="BI537" s="3"/>
      <c r="BJ537" s="3"/>
      <c r="BK537" s="3"/>
      <c r="BL537" s="3"/>
      <c r="BM537" s="3"/>
      <c r="BN537" s="3" t="s">
        <v>2068</v>
      </c>
    </row>
    <row r="538" spans="2:66" ht="12.9" customHeight="1">
      <c r="B538" s="1524"/>
      <c r="C538" s="1525"/>
      <c r="D538" s="1525"/>
      <c r="E538" s="1525"/>
      <c r="F538" s="1525"/>
      <c r="G538" s="1525"/>
      <c r="H538" s="1526"/>
      <c r="I538" t="s">
        <v>420</v>
      </c>
      <c r="AC538" s="1509" t="s">
        <v>589</v>
      </c>
      <c r="AD538" s="1510"/>
      <c r="AE538" s="1510"/>
      <c r="AF538" s="1510"/>
      <c r="AG538" s="13" t="s">
        <v>402</v>
      </c>
      <c r="AH538" s="1461"/>
      <c r="AI538" s="1461"/>
      <c r="AJ538" s="1461"/>
      <c r="AK538" s="1462"/>
      <c r="AZ538" s="3"/>
      <c r="BA538" s="3"/>
      <c r="BB538" s="3"/>
      <c r="BC538" s="3"/>
      <c r="BD538" s="3"/>
      <c r="BE538" s="3"/>
      <c r="BF538" s="3"/>
      <c r="BG538" s="3"/>
      <c r="BH538" s="3"/>
      <c r="BI538" s="3"/>
      <c r="BJ538" s="3"/>
      <c r="BK538" s="3"/>
      <c r="BL538" s="3"/>
      <c r="BM538" s="3"/>
      <c r="BN538" s="3" t="s">
        <v>2069</v>
      </c>
    </row>
    <row r="539" spans="2:66" ht="12.9" customHeight="1">
      <c r="B539" s="1524"/>
      <c r="C539" s="1525"/>
      <c r="D539" s="1525"/>
      <c r="E539" s="1525"/>
      <c r="F539" s="1525"/>
      <c r="G539" s="1525"/>
      <c r="H539" s="1526"/>
      <c r="I539" s="48" t="s">
        <v>421</v>
      </c>
      <c r="J539" s="48"/>
      <c r="K539" s="48"/>
      <c r="L539" s="48"/>
      <c r="M539" s="48"/>
      <c r="N539" s="48"/>
      <c r="O539" s="48"/>
      <c r="P539" s="48"/>
      <c r="Q539" s="48"/>
      <c r="R539" s="48"/>
      <c r="S539" s="48"/>
      <c r="T539" s="48"/>
      <c r="U539" s="48"/>
      <c r="V539" s="48"/>
      <c r="W539" s="48"/>
      <c r="X539" s="48"/>
      <c r="Y539" s="48"/>
      <c r="Z539" s="48"/>
      <c r="AA539" s="48"/>
      <c r="AB539" s="48"/>
      <c r="AC539" s="1509" t="s">
        <v>589</v>
      </c>
      <c r="AD539" s="1510"/>
      <c r="AE539" s="1510"/>
      <c r="AF539" s="1510"/>
      <c r="AG539" s="38" t="s">
        <v>402</v>
      </c>
      <c r="AH539" s="1461"/>
      <c r="AI539" s="1461"/>
      <c r="AJ539" s="1461"/>
      <c r="AK539" s="1462"/>
      <c r="AZ539" s="3"/>
      <c r="BA539" s="3"/>
      <c r="BB539" s="3"/>
      <c r="BC539" s="3"/>
      <c r="BD539" s="3"/>
      <c r="BE539" s="3"/>
      <c r="BF539" s="3"/>
      <c r="BG539" s="3"/>
      <c r="BH539" s="3"/>
      <c r="BI539" s="3"/>
      <c r="BJ539" s="3"/>
      <c r="BK539" s="3"/>
      <c r="BL539" s="3"/>
      <c r="BM539" s="3"/>
      <c r="BN539" s="3" t="s">
        <v>2070</v>
      </c>
    </row>
    <row r="540" spans="2:66" ht="12.9" customHeight="1">
      <c r="B540" s="1524"/>
      <c r="C540" s="1525"/>
      <c r="D540" s="1525"/>
      <c r="E540" s="1525"/>
      <c r="F540" s="1525"/>
      <c r="G540" s="1525"/>
      <c r="H540" s="1526"/>
      <c r="I540" s="42" t="s">
        <v>422</v>
      </c>
      <c r="J540" s="42"/>
      <c r="K540" s="42"/>
      <c r="L540" s="42"/>
      <c r="M540" s="42"/>
      <c r="N540" s="42"/>
      <c r="O540" s="1840" t="s">
        <v>334</v>
      </c>
      <c r="P540" s="1841"/>
      <c r="Q540" s="1841"/>
      <c r="R540" s="1841"/>
      <c r="S540" s="1841"/>
      <c r="T540" s="1841"/>
      <c r="U540" s="1841"/>
      <c r="V540" s="1841"/>
      <c r="W540" s="1841"/>
      <c r="X540" s="1841"/>
      <c r="Y540" s="1841"/>
      <c r="Z540" s="1841"/>
      <c r="AA540" s="1841"/>
      <c r="AC540" s="1509" t="s">
        <v>589</v>
      </c>
      <c r="AD540" s="1510"/>
      <c r="AE540" s="1510"/>
      <c r="AF540" s="1510"/>
      <c r="AG540" s="13" t="s">
        <v>402</v>
      </c>
      <c r="AH540" s="1461"/>
      <c r="AI540" s="1461"/>
      <c r="AJ540" s="1461"/>
      <c r="AK540" s="1462"/>
      <c r="AZ540" s="3"/>
      <c r="BA540" s="3"/>
      <c r="BB540" s="3"/>
      <c r="BC540" s="3"/>
      <c r="BD540" s="3"/>
      <c r="BE540" s="3"/>
      <c r="BF540" s="3"/>
      <c r="BG540" s="3"/>
      <c r="BH540" s="3"/>
      <c r="BI540" s="3"/>
      <c r="BJ540" s="3"/>
      <c r="BK540" s="3"/>
      <c r="BL540" s="3"/>
      <c r="BM540" s="3"/>
      <c r="BN540" s="3" t="s">
        <v>2071</v>
      </c>
    </row>
    <row r="541" spans="2:66" ht="12.9" customHeight="1">
      <c r="B541" s="1524"/>
      <c r="C541" s="1525"/>
      <c r="D541" s="1525"/>
      <c r="E541" s="1525"/>
      <c r="F541" s="1525"/>
      <c r="G541" s="1525"/>
      <c r="H541" s="1526"/>
      <c r="I541" t="s">
        <v>420</v>
      </c>
      <c r="AC541" s="1509" t="s">
        <v>589</v>
      </c>
      <c r="AD541" s="1510"/>
      <c r="AE541" s="1510"/>
      <c r="AF541" s="1510"/>
      <c r="AG541" s="38" t="s">
        <v>402</v>
      </c>
      <c r="AH541" s="1461"/>
      <c r="AI541" s="1461"/>
      <c r="AJ541" s="1461"/>
      <c r="AK541" s="1462"/>
      <c r="AZ541" s="3"/>
      <c r="BA541" s="3"/>
      <c r="BB541" s="3"/>
      <c r="BC541" s="3"/>
      <c r="BD541" s="3"/>
      <c r="BE541" s="3"/>
      <c r="BF541" s="3"/>
      <c r="BG541" s="3"/>
      <c r="BH541" s="3"/>
      <c r="BI541" s="3"/>
      <c r="BJ541" s="3"/>
      <c r="BK541" s="3"/>
      <c r="BL541" s="3"/>
      <c r="BM541" s="3"/>
      <c r="BN541" s="3" t="s">
        <v>2072</v>
      </c>
    </row>
    <row r="542" spans="2:66" ht="12.9" customHeight="1">
      <c r="B542" s="1524"/>
      <c r="C542" s="1525"/>
      <c r="D542" s="1525"/>
      <c r="E542" s="1525"/>
      <c r="F542" s="1525"/>
      <c r="G542" s="1525"/>
      <c r="H542" s="1526"/>
      <c r="I542" s="48" t="s">
        <v>421</v>
      </c>
      <c r="J542" s="48"/>
      <c r="K542" s="48"/>
      <c r="L542" s="48"/>
      <c r="M542" s="48"/>
      <c r="N542" s="48"/>
      <c r="O542" s="48"/>
      <c r="P542" s="48"/>
      <c r="Q542" s="48"/>
      <c r="R542" s="48"/>
      <c r="S542" s="48"/>
      <c r="T542" s="48"/>
      <c r="U542" s="48"/>
      <c r="V542" s="48"/>
      <c r="W542" s="48"/>
      <c r="X542" s="48"/>
      <c r="Y542" s="48"/>
      <c r="Z542" s="48"/>
      <c r="AA542" s="48"/>
      <c r="AB542" s="48"/>
      <c r="AC542" s="1509" t="s">
        <v>589</v>
      </c>
      <c r="AD542" s="1510"/>
      <c r="AE542" s="1510"/>
      <c r="AF542" s="1510"/>
      <c r="AG542" s="13" t="s">
        <v>402</v>
      </c>
      <c r="AH542" s="1461"/>
      <c r="AI542" s="1461"/>
      <c r="AJ542" s="1461"/>
      <c r="AK542" s="1462"/>
      <c r="AZ542" s="3"/>
      <c r="BA542" s="3"/>
      <c r="BB542" s="3"/>
      <c r="BC542" s="3"/>
      <c r="BD542" s="3"/>
      <c r="BE542" s="3"/>
      <c r="BF542" s="3"/>
      <c r="BG542" s="3"/>
      <c r="BH542" s="3"/>
      <c r="BI542" s="3"/>
      <c r="BJ542" s="3"/>
      <c r="BK542" s="3"/>
      <c r="BL542" s="3"/>
      <c r="BM542" s="3"/>
      <c r="BN542" s="3" t="s">
        <v>2073</v>
      </c>
    </row>
    <row r="543" spans="2:66" ht="12.9" customHeight="1">
      <c r="B543" s="1524"/>
      <c r="C543" s="1525"/>
      <c r="D543" s="1525"/>
      <c r="E543" s="1525"/>
      <c r="F543" s="1525"/>
      <c r="G543" s="1525"/>
      <c r="H543" s="1526"/>
      <c r="I543" s="42" t="s">
        <v>422</v>
      </c>
      <c r="J543" s="42"/>
      <c r="K543" s="42"/>
      <c r="L543" s="42"/>
      <c r="M543" s="42"/>
      <c r="N543" s="42"/>
      <c r="O543" s="1840" t="s">
        <v>334</v>
      </c>
      <c r="P543" s="1841"/>
      <c r="Q543" s="1841"/>
      <c r="R543" s="1841"/>
      <c r="S543" s="1841"/>
      <c r="T543" s="1841"/>
      <c r="U543" s="1841"/>
      <c r="V543" s="1841"/>
      <c r="W543" s="1841"/>
      <c r="X543" s="1841"/>
      <c r="Y543" s="1841"/>
      <c r="Z543" s="1841"/>
      <c r="AA543" s="1841"/>
      <c r="AC543" s="1509" t="s">
        <v>589</v>
      </c>
      <c r="AD543" s="1510"/>
      <c r="AE543" s="1510"/>
      <c r="AF543" s="1510"/>
      <c r="AG543" s="38" t="s">
        <v>402</v>
      </c>
      <c r="AH543" s="1461"/>
      <c r="AI543" s="1461"/>
      <c r="AJ543" s="1461"/>
      <c r="AK543" s="1462"/>
      <c r="AZ543" s="3"/>
      <c r="BA543" s="3"/>
      <c r="BB543" s="3"/>
      <c r="BC543" s="3"/>
      <c r="BD543" s="3"/>
      <c r="BE543" s="3"/>
      <c r="BF543" s="3"/>
      <c r="BG543" s="3"/>
      <c r="BH543" s="3"/>
      <c r="BI543" s="3"/>
      <c r="BJ543" s="3"/>
      <c r="BK543" s="3"/>
      <c r="BL543" s="3"/>
      <c r="BM543" s="3"/>
      <c r="BN543" s="3" t="s">
        <v>2074</v>
      </c>
    </row>
    <row r="544" spans="2:66" ht="12.9" customHeight="1">
      <c r="B544" s="1524"/>
      <c r="C544" s="1525"/>
      <c r="D544" s="1525"/>
      <c r="E544" s="1525"/>
      <c r="F544" s="1525"/>
      <c r="G544" s="1525"/>
      <c r="H544" s="1526"/>
      <c r="I544" t="s">
        <v>420</v>
      </c>
      <c r="AC544" s="1509" t="s">
        <v>589</v>
      </c>
      <c r="AD544" s="1510"/>
      <c r="AE544" s="1510"/>
      <c r="AF544" s="1510"/>
      <c r="AG544" s="13" t="s">
        <v>402</v>
      </c>
      <c r="AH544" s="1461"/>
      <c r="AI544" s="1461"/>
      <c r="AJ544" s="1461"/>
      <c r="AK544" s="1462"/>
      <c r="AZ544" s="3"/>
      <c r="BA544" s="3"/>
      <c r="BB544" s="3"/>
      <c r="BC544" s="3"/>
      <c r="BD544" s="3"/>
      <c r="BE544" s="3"/>
      <c r="BF544" s="3"/>
      <c r="BG544" s="3"/>
      <c r="BH544" s="3"/>
      <c r="BI544" s="3"/>
      <c r="BJ544" s="3"/>
      <c r="BK544" s="3"/>
      <c r="BL544" s="3"/>
      <c r="BM544" s="3"/>
      <c r="BN544" s="3" t="s">
        <v>2075</v>
      </c>
    </row>
    <row r="545" spans="1:66" ht="12.9" customHeight="1">
      <c r="B545" s="1524"/>
      <c r="C545" s="1525"/>
      <c r="D545" s="1525"/>
      <c r="E545" s="1525"/>
      <c r="F545" s="1525"/>
      <c r="G545" s="1525"/>
      <c r="H545" s="1526"/>
      <c r="I545" s="48" t="s">
        <v>421</v>
      </c>
      <c r="J545" s="48"/>
      <c r="K545" s="48"/>
      <c r="L545" s="48"/>
      <c r="M545" s="48"/>
      <c r="N545" s="48"/>
      <c r="O545" s="48"/>
      <c r="P545" s="48"/>
      <c r="Q545" s="48"/>
      <c r="R545" s="48"/>
      <c r="S545" s="48"/>
      <c r="T545" s="48"/>
      <c r="U545" s="48"/>
      <c r="V545" s="48"/>
      <c r="W545" s="48"/>
      <c r="X545" s="48"/>
      <c r="Y545" s="48"/>
      <c r="Z545" s="48"/>
      <c r="AA545" s="48"/>
      <c r="AB545" s="48"/>
      <c r="AC545" s="1509" t="s">
        <v>589</v>
      </c>
      <c r="AD545" s="1510"/>
      <c r="AE545" s="1510"/>
      <c r="AF545" s="1510"/>
      <c r="AG545" s="38" t="s">
        <v>402</v>
      </c>
      <c r="AH545" s="1461"/>
      <c r="AI545" s="1461"/>
      <c r="AJ545" s="1461"/>
      <c r="AK545" s="1462"/>
      <c r="AZ545" s="3"/>
      <c r="BA545" s="3"/>
      <c r="BB545" s="3"/>
      <c r="BC545" s="3"/>
      <c r="BD545" s="3"/>
      <c r="BE545" s="3"/>
      <c r="BF545" s="3"/>
      <c r="BG545" s="3"/>
      <c r="BH545" s="3"/>
      <c r="BI545" s="3"/>
      <c r="BJ545" s="3"/>
      <c r="BK545" s="3"/>
      <c r="BL545" s="3"/>
      <c r="BM545" s="3"/>
      <c r="BN545" s="3" t="s">
        <v>2076</v>
      </c>
    </row>
    <row r="546" spans="1:66" ht="12.9" customHeight="1">
      <c r="B546" s="1524"/>
      <c r="C546" s="1525"/>
      <c r="D546" s="1525"/>
      <c r="E546" s="1525"/>
      <c r="F546" s="1525"/>
      <c r="G546" s="1525"/>
      <c r="H546" s="1526"/>
      <c r="I546" s="42" t="s">
        <v>560</v>
      </c>
      <c r="J546" s="42"/>
      <c r="K546" s="42"/>
      <c r="L546" s="42"/>
      <c r="M546" s="42"/>
      <c r="N546" s="42"/>
      <c r="O546" s="42"/>
      <c r="P546" s="42"/>
      <c r="Q546" s="42"/>
      <c r="R546" s="42"/>
      <c r="S546" s="42"/>
      <c r="T546" s="42"/>
      <c r="U546" s="42"/>
      <c r="V546" s="42"/>
      <c r="W546" s="42"/>
      <c r="AC546" s="1509" t="s">
        <v>589</v>
      </c>
      <c r="AD546" s="1510"/>
      <c r="AE546" s="1510"/>
      <c r="AF546" s="1510"/>
      <c r="AG546" s="38" t="s">
        <v>402</v>
      </c>
      <c r="AH546" s="1461"/>
      <c r="AI546" s="1461"/>
      <c r="AJ546" s="1461"/>
      <c r="AK546" s="1462"/>
      <c r="AZ546" s="3"/>
      <c r="BA546" s="3"/>
      <c r="BB546" s="3"/>
      <c r="BC546" s="3"/>
      <c r="BD546" s="3"/>
      <c r="BE546" s="3"/>
      <c r="BF546" s="3"/>
      <c r="BG546" s="3"/>
      <c r="BH546" s="3"/>
      <c r="BI546" s="3"/>
      <c r="BJ546" s="3"/>
      <c r="BK546" s="3"/>
      <c r="BL546" s="3"/>
      <c r="BM546" s="3"/>
      <c r="BN546" s="3"/>
    </row>
    <row r="547" spans="1:66" ht="12.9" customHeight="1">
      <c r="B547" s="1524"/>
      <c r="C547" s="1525"/>
      <c r="D547" s="1525"/>
      <c r="E547" s="1525"/>
      <c r="F547" s="1525"/>
      <c r="G547" s="1525"/>
      <c r="H547" s="1526"/>
      <c r="I547" t="s">
        <v>561</v>
      </c>
      <c r="AC547" s="1509">
        <v>6</v>
      </c>
      <c r="AD547" s="1510"/>
      <c r="AE547" s="1510"/>
      <c r="AF547" s="1510"/>
      <c r="AG547" s="13" t="s">
        <v>402</v>
      </c>
      <c r="AH547" s="1461">
        <v>2027</v>
      </c>
      <c r="AI547" s="1461"/>
      <c r="AJ547" s="1461"/>
      <c r="AK547" s="1462"/>
      <c r="AZ547" s="3"/>
      <c r="BA547" s="3"/>
      <c r="BB547" s="3"/>
      <c r="BC547" s="3"/>
      <c r="BD547" s="3"/>
      <c r="BE547" s="3"/>
      <c r="BF547" s="3"/>
      <c r="BG547" s="3"/>
      <c r="BH547" s="3"/>
      <c r="BI547" s="3"/>
      <c r="BJ547" s="3"/>
      <c r="BK547" s="3"/>
      <c r="BL547" s="3"/>
      <c r="BM547" s="3"/>
      <c r="BN547" s="3"/>
    </row>
    <row r="548" spans="1:66" ht="12.9" customHeight="1">
      <c r="B548" s="1524"/>
      <c r="C548" s="1525"/>
      <c r="D548" s="1525"/>
      <c r="E548" s="1525"/>
      <c r="F548" s="1525"/>
      <c r="G548" s="1525"/>
      <c r="H548" s="1526"/>
      <c r="I548" t="s">
        <v>562</v>
      </c>
      <c r="AC548" s="1509">
        <v>6</v>
      </c>
      <c r="AD548" s="1510"/>
      <c r="AE548" s="1510"/>
      <c r="AF548" s="1510"/>
      <c r="AG548" s="38" t="s">
        <v>402</v>
      </c>
      <c r="AH548" s="1461">
        <v>2029</v>
      </c>
      <c r="AI548" s="1461"/>
      <c r="AJ548" s="1461"/>
      <c r="AK548" s="1462"/>
      <c r="AZ548" s="3"/>
      <c r="BA548" s="3"/>
      <c r="BB548" s="3"/>
      <c r="BC548" s="3"/>
      <c r="BD548" s="3"/>
      <c r="BE548" s="3"/>
      <c r="BF548" s="3"/>
      <c r="BG548" s="3"/>
      <c r="BH548" s="3"/>
      <c r="BI548" s="3"/>
      <c r="BJ548" s="3"/>
      <c r="BK548" s="3"/>
      <c r="BL548" s="3"/>
      <c r="BM548" s="3"/>
      <c r="BN548" s="3"/>
    </row>
    <row r="549" spans="1:66" ht="12.9" customHeight="1">
      <c r="B549" s="1524"/>
      <c r="C549" s="1525"/>
      <c r="D549" s="1525"/>
      <c r="E549" s="1525"/>
      <c r="F549" s="1525"/>
      <c r="G549" s="1525"/>
      <c r="H549" s="1526"/>
      <c r="I549" t="s">
        <v>563</v>
      </c>
      <c r="AC549" s="1509">
        <v>6</v>
      </c>
      <c r="AD549" s="1510"/>
      <c r="AE549" s="1510"/>
      <c r="AF549" s="1510"/>
      <c r="AG549" s="38" t="s">
        <v>402</v>
      </c>
      <c r="AH549" s="1461">
        <v>2029</v>
      </c>
      <c r="AI549" s="1461"/>
      <c r="AJ549" s="1461"/>
      <c r="AK549" s="1462"/>
      <c r="AZ549" s="3"/>
      <c r="BA549" s="3"/>
      <c r="BB549" s="3"/>
      <c r="BC549" s="3"/>
      <c r="BD549" s="3"/>
      <c r="BE549" s="3"/>
      <c r="BF549" s="3"/>
      <c r="BG549" s="3"/>
      <c r="BH549" s="3"/>
      <c r="BI549" s="3"/>
      <c r="BJ549" s="3"/>
      <c r="BK549" s="3"/>
      <c r="BL549" s="3"/>
      <c r="BM549" s="3"/>
      <c r="BN549" s="3"/>
    </row>
    <row r="550" spans="1:66" ht="12.9" customHeight="1">
      <c r="B550" s="1527"/>
      <c r="C550" s="1528"/>
      <c r="D550" s="1528"/>
      <c r="E550" s="1528"/>
      <c r="F550" s="1528"/>
      <c r="G550" s="1528"/>
      <c r="H550" s="1529"/>
      <c r="I550" s="48" t="s">
        <v>449</v>
      </c>
      <c r="J550" s="48"/>
      <c r="K550" s="48"/>
      <c r="L550" s="48"/>
      <c r="M550" s="48"/>
      <c r="N550" s="48"/>
      <c r="O550" s="48"/>
      <c r="P550" s="48"/>
      <c r="Q550" s="48"/>
      <c r="R550" s="48"/>
      <c r="S550" s="48"/>
      <c r="T550" s="48"/>
      <c r="U550" s="48"/>
      <c r="V550" s="48"/>
      <c r="W550" s="48"/>
      <c r="X550" s="48"/>
      <c r="Y550" s="48"/>
      <c r="Z550" s="48"/>
      <c r="AA550" s="48"/>
      <c r="AB550" s="48"/>
      <c r="AC550" s="1509">
        <v>9</v>
      </c>
      <c r="AD550" s="1510"/>
      <c r="AE550" s="1510"/>
      <c r="AF550" s="1510"/>
      <c r="AG550" s="38" t="s">
        <v>402</v>
      </c>
      <c r="AH550" s="1461">
        <v>2029</v>
      </c>
      <c r="AI550" s="1461"/>
      <c r="AJ550" s="1461"/>
      <c r="AK550" s="1462"/>
      <c r="BB550" s="3"/>
      <c r="BC550" s="3"/>
      <c r="BD550" s="3"/>
      <c r="BE550" s="3"/>
      <c r="BF550" s="3"/>
      <c r="BG550" s="3"/>
      <c r="BH550" s="3" t="s">
        <v>112</v>
      </c>
      <c r="BI550" s="3" t="str">
        <f>N657</f>
        <v>Yes</v>
      </c>
      <c r="BJ550" s="3"/>
      <c r="BK550" s="3"/>
      <c r="BL550" s="3"/>
      <c r="BM550" s="3"/>
      <c r="BN550" s="3"/>
    </row>
    <row r="551" spans="1:66" ht="12.9"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 customHeight="1">
      <c r="A552" s="1352" t="s">
        <v>541</v>
      </c>
      <c r="B552" s="1352"/>
      <c r="C552" s="1352"/>
      <c r="D552" s="1352"/>
      <c r="E552" s="1352"/>
      <c r="F552" s="1352"/>
      <c r="G552" s="1352"/>
      <c r="H552" s="1352"/>
      <c r="I552" s="1352"/>
      <c r="J552" s="1352"/>
      <c r="K552" s="1352"/>
      <c r="L552" s="1352"/>
      <c r="M552" s="1352"/>
      <c r="N552" s="1352"/>
      <c r="O552" s="1352"/>
      <c r="P552" s="1352"/>
      <c r="Q552" s="1352"/>
      <c r="R552" s="1352"/>
      <c r="S552" s="1352"/>
      <c r="T552" s="1352"/>
      <c r="U552" s="1352"/>
      <c r="V552" s="1352"/>
      <c r="W552" s="1352"/>
      <c r="X552" s="1352"/>
      <c r="Y552" s="1352"/>
      <c r="Z552" s="1352"/>
      <c r="AA552" s="1352"/>
      <c r="AB552" s="1352"/>
      <c r="AC552" s="1352"/>
      <c r="AD552" s="1352"/>
      <c r="AE552" s="1352"/>
      <c r="AF552" s="1352"/>
      <c r="AG552" s="1352"/>
      <c r="AH552" s="1352"/>
      <c r="AI552" s="1352"/>
      <c r="AJ552" s="1352"/>
      <c r="AK552" s="1352"/>
      <c r="AL552" s="1352"/>
      <c r="AM552" s="1352"/>
      <c r="AN552" s="1352"/>
      <c r="AO552" s="1352"/>
      <c r="AP552" s="1352"/>
      <c r="AQ552" s="1352"/>
      <c r="AR552" s="1352"/>
      <c r="AS552" s="1352"/>
      <c r="AT552" s="1352"/>
      <c r="AU552" s="890"/>
      <c r="AV552" s="890"/>
      <c r="AW552" s="890"/>
      <c r="AX552" s="890"/>
      <c r="AY552" s="890"/>
      <c r="BB552" s="3"/>
      <c r="BC552" s="3"/>
      <c r="BD552" s="3"/>
      <c r="BE552" s="3"/>
      <c r="BF552" s="3"/>
      <c r="BG552" s="3"/>
      <c r="BH552" s="3"/>
      <c r="BI552" s="3"/>
      <c r="BJ552" s="3"/>
      <c r="BK552" s="3"/>
      <c r="BL552" s="3"/>
      <c r="BM552" s="3"/>
      <c r="BN552" s="3"/>
    </row>
    <row r="553" spans="1:66" ht="12.9" customHeight="1">
      <c r="A553" s="1352"/>
      <c r="B553" s="1352"/>
      <c r="C553" s="1352"/>
      <c r="D553" s="1352"/>
      <c r="E553" s="1352"/>
      <c r="F553" s="1352"/>
      <c r="G553" s="1352"/>
      <c r="H553" s="1352"/>
      <c r="I553" s="1352"/>
      <c r="J553" s="1352"/>
      <c r="K553" s="1352"/>
      <c r="L553" s="1352"/>
      <c r="M553" s="1352"/>
      <c r="N553" s="1352"/>
      <c r="O553" s="1352"/>
      <c r="P553" s="1352"/>
      <c r="Q553" s="1352"/>
      <c r="R553" s="1352"/>
      <c r="S553" s="1352"/>
      <c r="T553" s="1352"/>
      <c r="U553" s="1352"/>
      <c r="V553" s="1352"/>
      <c r="W553" s="1352"/>
      <c r="X553" s="1352"/>
      <c r="Y553" s="1352"/>
      <c r="Z553" s="1352"/>
      <c r="AA553" s="1352"/>
      <c r="AB553" s="1352"/>
      <c r="AC553" s="1352"/>
      <c r="AD553" s="1352"/>
      <c r="AE553" s="1352"/>
      <c r="AF553" s="1352"/>
      <c r="AG553" s="1352"/>
      <c r="AH553" s="1352"/>
      <c r="AI553" s="1352"/>
      <c r="AJ553" s="1352"/>
      <c r="AK553" s="1352"/>
      <c r="AL553" s="1352"/>
      <c r="AM553" s="1352"/>
      <c r="AN553" s="1352"/>
      <c r="AO553" s="1352"/>
      <c r="AP553" s="1352"/>
      <c r="AQ553" s="1352"/>
      <c r="AR553" s="1352"/>
      <c r="AS553" s="1352"/>
      <c r="AT553" s="1352"/>
      <c r="BB553" s="3"/>
      <c r="BC553" s="3"/>
      <c r="BD553" s="3"/>
      <c r="BE553" s="3"/>
      <c r="BF553" s="3"/>
      <c r="BG553" s="3"/>
      <c r="BH553" s="3"/>
      <c r="BI553" s="3"/>
    </row>
    <row r="554" spans="1:66" ht="12.9" customHeight="1">
      <c r="BB554" s="3"/>
      <c r="BC554" s="3"/>
      <c r="BD554" s="3"/>
      <c r="BE554" s="3"/>
      <c r="BF554" s="3"/>
      <c r="BG554" s="3"/>
      <c r="BH554" s="3"/>
      <c r="BI554" s="3"/>
    </row>
    <row r="555" spans="1:66" ht="12.9" customHeight="1">
      <c r="A555" s="2" t="s">
        <v>319</v>
      </c>
      <c r="B555" s="2"/>
      <c r="C555" s="2" t="s">
        <v>450</v>
      </c>
      <c r="BB555" s="3"/>
      <c r="BC555" s="3"/>
      <c r="BD555" s="3"/>
      <c r="BE555" s="3"/>
      <c r="BF555" s="3"/>
      <c r="BG555" s="3"/>
      <c r="BH555" s="3"/>
      <c r="BI555" s="3"/>
    </row>
    <row r="556" spans="1:66" ht="12.9" customHeight="1">
      <c r="A556" s="2"/>
      <c r="B556" s="2"/>
      <c r="C556" s="2"/>
      <c r="BB556" s="3"/>
      <c r="BC556" s="3"/>
      <c r="BD556" s="3"/>
      <c r="BE556" s="3"/>
      <c r="BF556" s="3"/>
      <c r="BG556" s="3"/>
      <c r="BH556" s="3"/>
      <c r="BI556" s="3"/>
    </row>
    <row r="557" spans="1:66" ht="12.9" customHeight="1">
      <c r="A557" s="2"/>
      <c r="B557" s="2"/>
      <c r="C557" s="2"/>
      <c r="D557" s="2" t="s">
        <v>2048</v>
      </c>
      <c r="AC557" s="98"/>
      <c r="BB557" s="3"/>
      <c r="BC557" s="3"/>
      <c r="BD557" s="3"/>
      <c r="BE557" s="3"/>
      <c r="BF557" s="3"/>
      <c r="BG557" s="3"/>
      <c r="BH557" s="3"/>
      <c r="BI557" s="3"/>
    </row>
    <row r="558" spans="1:66" ht="12.9" customHeight="1">
      <c r="B558" s="508"/>
      <c r="BB558" s="3"/>
      <c r="BC558" s="3"/>
      <c r="BD558" s="3"/>
      <c r="BE558" s="3"/>
      <c r="BF558" s="3"/>
      <c r="BG558" s="3"/>
      <c r="BH558" s="3" t="s">
        <v>119</v>
      </c>
      <c r="BI558" s="3" t="str">
        <f>N665</f>
        <v>Yes</v>
      </c>
    </row>
    <row r="559" spans="1:66" ht="12.9" customHeight="1">
      <c r="B559" s="1521" t="s">
        <v>2050</v>
      </c>
      <c r="C559" s="1522"/>
      <c r="D559" s="1522"/>
      <c r="E559" s="1522"/>
      <c r="F559" s="1522"/>
      <c r="G559" s="1522"/>
      <c r="H559" s="1522"/>
      <c r="I559" s="1522"/>
      <c r="J559" s="1522"/>
      <c r="K559" s="1522"/>
      <c r="L559" s="1523"/>
      <c r="M559" s="1521" t="s">
        <v>2051</v>
      </c>
      <c r="N559" s="1522"/>
      <c r="O559" s="1522"/>
      <c r="P559" s="1523"/>
      <c r="Q559" s="1521" t="s">
        <v>2077</v>
      </c>
      <c r="R559" s="1522"/>
      <c r="S559" s="1523"/>
      <c r="T559" s="1521" t="s">
        <v>2078</v>
      </c>
      <c r="U559" s="1522"/>
      <c r="V559" s="1523"/>
      <c r="W559" s="1521" t="s">
        <v>451</v>
      </c>
      <c r="X559" s="1522"/>
      <c r="Y559" s="1523"/>
      <c r="Z559" s="1521" t="s">
        <v>1820</v>
      </c>
      <c r="AA559" s="1522"/>
      <c r="AB559" s="1522"/>
      <c r="AC559" s="1522"/>
      <c r="AD559" s="1523"/>
      <c r="AE559" s="1521" t="s">
        <v>1662</v>
      </c>
      <c r="AF559" s="1522"/>
      <c r="AG559" s="1522"/>
      <c r="AH559" s="1523"/>
      <c r="AI559" s="1521" t="s">
        <v>1663</v>
      </c>
      <c r="AJ559" s="1522"/>
      <c r="AK559" s="1522"/>
      <c r="AL559" s="1523"/>
      <c r="AM559" s="1521" t="s">
        <v>452</v>
      </c>
      <c r="AN559" s="1522"/>
      <c r="AO559" s="1522"/>
      <c r="AP559" s="1522"/>
      <c r="AQ559" s="1522"/>
      <c r="AR559" s="1522"/>
      <c r="AS559" s="1523"/>
      <c r="BB559" s="3"/>
      <c r="BC559" s="3"/>
      <c r="BD559" s="3"/>
      <c r="BE559" s="3"/>
      <c r="BF559" s="3"/>
      <c r="BG559" s="3"/>
      <c r="BH559" s="3" t="s">
        <v>579</v>
      </c>
      <c r="BI559" s="3" t="str">
        <f>AG665</f>
        <v>Yes</v>
      </c>
    </row>
    <row r="560" spans="1:66" ht="12.9" customHeight="1">
      <c r="B560" s="1524"/>
      <c r="C560" s="1525"/>
      <c r="D560" s="1525"/>
      <c r="E560" s="1525"/>
      <c r="F560" s="1525"/>
      <c r="G560" s="1525"/>
      <c r="H560" s="1525"/>
      <c r="I560" s="1525"/>
      <c r="J560" s="1525"/>
      <c r="K560" s="1525"/>
      <c r="L560" s="1526"/>
      <c r="M560" s="1524"/>
      <c r="N560" s="1525"/>
      <c r="O560" s="1525"/>
      <c r="P560" s="1526"/>
      <c r="Q560" s="1524"/>
      <c r="R560" s="1525"/>
      <c r="S560" s="1526"/>
      <c r="T560" s="1524"/>
      <c r="U560" s="1525"/>
      <c r="V560" s="1526"/>
      <c r="W560" s="1524"/>
      <c r="X560" s="1525"/>
      <c r="Y560" s="1526"/>
      <c r="Z560" s="1524"/>
      <c r="AA560" s="1525"/>
      <c r="AB560" s="1525"/>
      <c r="AC560" s="1525"/>
      <c r="AD560" s="1526"/>
      <c r="AE560" s="1524"/>
      <c r="AF560" s="1525"/>
      <c r="AG560" s="1525"/>
      <c r="AH560" s="1526"/>
      <c r="AI560" s="1524"/>
      <c r="AJ560" s="1525"/>
      <c r="AK560" s="1525"/>
      <c r="AL560" s="1526"/>
      <c r="AM560" s="1524"/>
      <c r="AN560" s="1525"/>
      <c r="AO560" s="1525"/>
      <c r="AP560" s="1525"/>
      <c r="AQ560" s="1525"/>
      <c r="AR560" s="1525"/>
      <c r="AS560" s="1526"/>
      <c r="AU560" s="1136"/>
      <c r="BB560" s="3"/>
      <c r="BC560" s="3"/>
      <c r="BD560" s="3"/>
      <c r="BE560" s="3"/>
      <c r="BF560" s="3"/>
      <c r="BG560" s="3"/>
      <c r="BH560" s="3"/>
      <c r="BI560" s="3"/>
    </row>
    <row r="561" spans="1:61" ht="12.9" customHeight="1">
      <c r="B561" s="1527"/>
      <c r="C561" s="1528"/>
      <c r="D561" s="1528"/>
      <c r="E561" s="1528"/>
      <c r="F561" s="1528"/>
      <c r="G561" s="1528"/>
      <c r="H561" s="1528"/>
      <c r="I561" s="1528"/>
      <c r="J561" s="1528"/>
      <c r="K561" s="1528"/>
      <c r="L561" s="1529"/>
      <c r="M561" s="1527"/>
      <c r="N561" s="1528"/>
      <c r="O561" s="1528"/>
      <c r="P561" s="1529"/>
      <c r="Q561" s="1527"/>
      <c r="R561" s="1528"/>
      <c r="S561" s="1529"/>
      <c r="T561" s="1527"/>
      <c r="U561" s="1528"/>
      <c r="V561" s="1529"/>
      <c r="W561" s="1527"/>
      <c r="X561" s="1528"/>
      <c r="Y561" s="1529"/>
      <c r="Z561" s="1527"/>
      <c r="AA561" s="1528"/>
      <c r="AB561" s="1528"/>
      <c r="AC561" s="1528"/>
      <c r="AD561" s="1529"/>
      <c r="AE561" s="1527"/>
      <c r="AF561" s="1528"/>
      <c r="AG561" s="1528"/>
      <c r="AH561" s="1529"/>
      <c r="AI561" s="1527"/>
      <c r="AJ561" s="1528"/>
      <c r="AK561" s="1528"/>
      <c r="AL561" s="1529"/>
      <c r="AM561" s="1527"/>
      <c r="AN561" s="1528"/>
      <c r="AO561" s="1528"/>
      <c r="AP561" s="1528"/>
      <c r="AQ561" s="1528"/>
      <c r="AR561" s="1528"/>
      <c r="AS561" s="1529"/>
      <c r="AU561" s="1136"/>
      <c r="BB561" s="3"/>
      <c r="BC561" s="3"/>
      <c r="BD561" s="3"/>
      <c r="BE561" s="3"/>
      <c r="BF561" s="3"/>
      <c r="BG561" s="3"/>
      <c r="BH561" s="3"/>
      <c r="BI561" s="3"/>
    </row>
    <row r="562" spans="1:61" ht="12.9" customHeight="1">
      <c r="B562" s="51" t="s">
        <v>112</v>
      </c>
      <c r="C562" s="1774" t="s">
        <v>2826</v>
      </c>
      <c r="D562" s="1774"/>
      <c r="E562" s="1774"/>
      <c r="F562" s="1774"/>
      <c r="G562" s="1774"/>
      <c r="H562" s="1774"/>
      <c r="I562" s="1774"/>
      <c r="J562" s="1774"/>
      <c r="K562" s="1774"/>
      <c r="L562" s="1774"/>
      <c r="M562" s="1774" t="s">
        <v>2067</v>
      </c>
      <c r="N562" s="1774"/>
      <c r="O562" s="1774"/>
      <c r="P562" s="1774"/>
      <c r="Q562" s="1537">
        <v>30</v>
      </c>
      <c r="R562" s="1537"/>
      <c r="S562" s="1538"/>
      <c r="T562" s="1536"/>
      <c r="U562" s="1537"/>
      <c r="V562" s="1538"/>
      <c r="W562" s="1589">
        <v>6.5000000000000002E-2</v>
      </c>
      <c r="X562" s="1590"/>
      <c r="Y562" s="1591"/>
      <c r="Z562" s="1773" t="s">
        <v>2783</v>
      </c>
      <c r="AA562" s="1773"/>
      <c r="AB562" s="1773"/>
      <c r="AC562" s="1773"/>
      <c r="AD562" s="1773"/>
      <c r="AE562" s="1506">
        <v>1</v>
      </c>
      <c r="AF562" s="1507"/>
      <c r="AG562" s="1507"/>
      <c r="AH562" s="1508"/>
      <c r="AI562" s="1533"/>
      <c r="AJ562" s="1534"/>
      <c r="AK562" s="1534"/>
      <c r="AL562" s="1535"/>
      <c r="AM562" s="1503">
        <v>21128698</v>
      </c>
      <c r="AN562" s="1504"/>
      <c r="AO562" s="1504"/>
      <c r="AP562" s="1504"/>
      <c r="AQ562" s="1504"/>
      <c r="AR562" s="1504"/>
      <c r="AS562" s="1505"/>
      <c r="AT562" s="1137"/>
      <c r="AU562" s="1136"/>
      <c r="BB562" s="3"/>
      <c r="BC562" s="3"/>
      <c r="BD562" s="3"/>
      <c r="BE562" s="3"/>
      <c r="BF562" s="3"/>
      <c r="BG562" s="3"/>
      <c r="BH562" s="3"/>
      <c r="BI562" s="3"/>
    </row>
    <row r="563" spans="1:61" ht="12.9" customHeight="1">
      <c r="B563" s="52" t="s">
        <v>113</v>
      </c>
      <c r="C563" s="1775" t="s">
        <v>2827</v>
      </c>
      <c r="D563" s="1775"/>
      <c r="E563" s="1775"/>
      <c r="F563" s="1775"/>
      <c r="G563" s="1775"/>
      <c r="H563" s="1775"/>
      <c r="I563" s="1775"/>
      <c r="J563" s="1775"/>
      <c r="K563" s="1775"/>
      <c r="L563" s="1775"/>
      <c r="M563" s="1774" t="s">
        <v>2068</v>
      </c>
      <c r="N563" s="1774"/>
      <c r="O563" s="1774"/>
      <c r="P563" s="1774"/>
      <c r="Q563" s="1536">
        <v>30</v>
      </c>
      <c r="R563" s="1537"/>
      <c r="S563" s="1538"/>
      <c r="T563" s="1536"/>
      <c r="U563" s="1537"/>
      <c r="V563" s="1538"/>
      <c r="W563" s="1589">
        <v>0.08</v>
      </c>
      <c r="X563" s="1590"/>
      <c r="Y563" s="1591"/>
      <c r="Z563" s="1773" t="s">
        <v>2783</v>
      </c>
      <c r="AA563" s="1773"/>
      <c r="AB563" s="1773"/>
      <c r="AC563" s="1773"/>
      <c r="AD563" s="1773"/>
      <c r="AE563" s="1506">
        <v>1</v>
      </c>
      <c r="AF563" s="1507"/>
      <c r="AG563" s="1507"/>
      <c r="AH563" s="1508"/>
      <c r="AI563" s="1533"/>
      <c r="AJ563" s="1534"/>
      <c r="AK563" s="1534"/>
      <c r="AL563" s="1535"/>
      <c r="AM563" s="1503">
        <v>5000000</v>
      </c>
      <c r="AN563" s="1504"/>
      <c r="AO563" s="1504"/>
      <c r="AP563" s="1504"/>
      <c r="AQ563" s="1504"/>
      <c r="AR563" s="1504"/>
      <c r="AS563" s="1505"/>
      <c r="AT563" s="1137" t="str">
        <f>IF(AND(NOT(C562=""),C563="",NOT(C564="")),"!","")</f>
        <v/>
      </c>
      <c r="AU563" s="1136"/>
      <c r="BB563" s="3"/>
      <c r="BC563" s="3"/>
      <c r="BD563" s="3"/>
      <c r="BE563" s="3"/>
      <c r="BF563" s="3"/>
      <c r="BG563" s="3"/>
      <c r="BH563" s="3"/>
      <c r="BI563" s="3"/>
    </row>
    <row r="564" spans="1:61" ht="12.9" customHeight="1">
      <c r="B564" s="52" t="s">
        <v>119</v>
      </c>
      <c r="C564" s="1775" t="s">
        <v>2826</v>
      </c>
      <c r="D564" s="1775"/>
      <c r="E564" s="1775"/>
      <c r="F564" s="1775"/>
      <c r="G564" s="1775"/>
      <c r="H564" s="1775"/>
      <c r="I564" s="1775"/>
      <c r="J564" s="1775"/>
      <c r="K564" s="1775"/>
      <c r="L564" s="1775"/>
      <c r="M564" s="1774" t="s">
        <v>2066</v>
      </c>
      <c r="N564" s="1774"/>
      <c r="O564" s="1774"/>
      <c r="P564" s="1774"/>
      <c r="Q564" s="1536">
        <v>30</v>
      </c>
      <c r="R564" s="1537"/>
      <c r="S564" s="1538"/>
      <c r="T564" s="1536"/>
      <c r="U564" s="1537"/>
      <c r="V564" s="1538"/>
      <c r="W564" s="1589">
        <v>6.5000000000000002E-2</v>
      </c>
      <c r="X564" s="1590"/>
      <c r="Y564" s="1591"/>
      <c r="Z564" s="1773" t="s">
        <v>2783</v>
      </c>
      <c r="AA564" s="1773"/>
      <c r="AB564" s="1773"/>
      <c r="AC564" s="1773"/>
      <c r="AD564" s="1773"/>
      <c r="AE564" s="1506">
        <v>1</v>
      </c>
      <c r="AF564" s="1507"/>
      <c r="AG564" s="1507"/>
      <c r="AH564" s="1508"/>
      <c r="AI564" s="1533"/>
      <c r="AJ564" s="1534"/>
      <c r="AK564" s="1534"/>
      <c r="AL564" s="1535"/>
      <c r="AM564" s="1503">
        <v>24034220</v>
      </c>
      <c r="AN564" s="1504"/>
      <c r="AO564" s="1504"/>
      <c r="AP564" s="1504"/>
      <c r="AQ564" s="1504"/>
      <c r="AR564" s="1504"/>
      <c r="AS564" s="1505"/>
      <c r="AT564" s="1137" t="str">
        <f>IF(AND(NOT(C563=""),C564="",NOT(C565="")),"!","")</f>
        <v/>
      </c>
      <c r="AU564" s="1136"/>
      <c r="BB564" s="3"/>
      <c r="BC564" s="3"/>
      <c r="BD564" s="3"/>
      <c r="BE564" s="3"/>
      <c r="BF564" s="3"/>
      <c r="BG564" s="3"/>
      <c r="BH564" s="3"/>
      <c r="BI564" s="3"/>
    </row>
    <row r="565" spans="1:61" ht="12.9" customHeight="1">
      <c r="B565" s="52" t="s">
        <v>579</v>
      </c>
      <c r="C565" s="1775" t="s">
        <v>2828</v>
      </c>
      <c r="D565" s="1775"/>
      <c r="E565" s="1775"/>
      <c r="F565" s="1775"/>
      <c r="G565" s="1775"/>
      <c r="H565" s="1775"/>
      <c r="I565" s="1775"/>
      <c r="J565" s="1775"/>
      <c r="K565" s="1775"/>
      <c r="L565" s="1775"/>
      <c r="M565" s="1774" t="s">
        <v>2058</v>
      </c>
      <c r="N565" s="1774"/>
      <c r="O565" s="1774"/>
      <c r="P565" s="1774"/>
      <c r="Q565" s="1536"/>
      <c r="R565" s="1537"/>
      <c r="S565" s="1538"/>
      <c r="T565" s="1536"/>
      <c r="U565" s="1537"/>
      <c r="V565" s="1538"/>
      <c r="W565" s="1589"/>
      <c r="X565" s="1590"/>
      <c r="Y565" s="1591"/>
      <c r="Z565" s="1773" t="s">
        <v>1181</v>
      </c>
      <c r="AA565" s="1773"/>
      <c r="AB565" s="1773"/>
      <c r="AC565" s="1773"/>
      <c r="AD565" s="1773"/>
      <c r="AE565" s="1506"/>
      <c r="AF565" s="1507"/>
      <c r="AG565" s="1507"/>
      <c r="AH565" s="1508"/>
      <c r="AI565" s="1533"/>
      <c r="AJ565" s="1534"/>
      <c r="AK565" s="1534"/>
      <c r="AL565" s="1535"/>
      <c r="AM565" s="1503">
        <v>3275773</v>
      </c>
      <c r="AN565" s="1504"/>
      <c r="AO565" s="1504"/>
      <c r="AP565" s="1504"/>
      <c r="AQ565" s="1504"/>
      <c r="AR565" s="1504"/>
      <c r="AS565" s="1505"/>
      <c r="AT565" s="1137" t="str">
        <f>IF(AND(NOT(C564=""),C565="",NOT(C566="")),"!","")</f>
        <v/>
      </c>
      <c r="AU565" s="1136"/>
      <c r="BB565" s="3"/>
      <c r="BC565" s="3"/>
      <c r="BD565" s="3"/>
      <c r="BE565" s="3"/>
      <c r="BF565" s="3"/>
      <c r="BG565" s="3"/>
      <c r="BH565" s="3"/>
      <c r="BI565" s="3"/>
    </row>
    <row r="566" spans="1:61" ht="12.9" customHeight="1">
      <c r="B566" s="52" t="s">
        <v>761</v>
      </c>
      <c r="C566" s="1775" t="s">
        <v>2829</v>
      </c>
      <c r="D566" s="1775"/>
      <c r="E566" s="1775"/>
      <c r="F566" s="1775"/>
      <c r="G566" s="1775"/>
      <c r="H566" s="1775"/>
      <c r="I566" s="1775"/>
      <c r="J566" s="1775"/>
      <c r="K566" s="1775"/>
      <c r="L566" s="1775"/>
      <c r="M566" s="1774" t="s">
        <v>2070</v>
      </c>
      <c r="N566" s="1774"/>
      <c r="O566" s="1774"/>
      <c r="P566" s="1774"/>
      <c r="Q566" s="1536"/>
      <c r="R566" s="1537"/>
      <c r="S566" s="1538"/>
      <c r="T566" s="1536"/>
      <c r="U566" s="1537"/>
      <c r="V566" s="1538"/>
      <c r="W566" s="1589"/>
      <c r="X566" s="1590"/>
      <c r="Y566" s="1591"/>
      <c r="Z566" s="1773" t="s">
        <v>2783</v>
      </c>
      <c r="AA566" s="1773"/>
      <c r="AB566" s="1773"/>
      <c r="AC566" s="1773"/>
      <c r="AD566" s="1773"/>
      <c r="AE566" s="1506"/>
      <c r="AF566" s="1507"/>
      <c r="AG566" s="1507"/>
      <c r="AH566" s="1508"/>
      <c r="AI566" s="1533"/>
      <c r="AJ566" s="1534"/>
      <c r="AK566" s="1534"/>
      <c r="AL566" s="1535"/>
      <c r="AM566" s="1503">
        <v>10900000</v>
      </c>
      <c r="AN566" s="1504"/>
      <c r="AO566" s="1504"/>
      <c r="AP566" s="1504"/>
      <c r="AQ566" s="1504"/>
      <c r="AR566" s="1504"/>
      <c r="AS566" s="1505"/>
      <c r="AT566" s="1137" t="str">
        <f t="shared" ref="AT566:AT573" si="2">IF(AND(NOT(C565=""),C566="",NOT(C567="")),"!","")</f>
        <v/>
      </c>
      <c r="AU566" s="1136"/>
      <c r="BB566" s="3"/>
      <c r="BC566" s="3"/>
      <c r="BD566" s="3"/>
      <c r="BE566" s="3"/>
      <c r="BF566" s="3"/>
      <c r="BG566" s="3"/>
      <c r="BH566" s="3" t="s">
        <v>761</v>
      </c>
      <c r="BI566" s="3" t="str">
        <f>N673</f>
        <v>Yes</v>
      </c>
    </row>
    <row r="567" spans="1:61" ht="12.9" customHeight="1">
      <c r="B567" s="52" t="s">
        <v>582</v>
      </c>
      <c r="C567" s="1775" t="s">
        <v>2836</v>
      </c>
      <c r="D567" s="1775"/>
      <c r="E567" s="1775"/>
      <c r="F567" s="1775"/>
      <c r="G567" s="1775"/>
      <c r="H567" s="1775"/>
      <c r="I567" s="1775"/>
      <c r="J567" s="1775"/>
      <c r="K567" s="1775"/>
      <c r="L567" s="1775"/>
      <c r="M567" s="1774" t="s">
        <v>2070</v>
      </c>
      <c r="N567" s="1774"/>
      <c r="O567" s="1774"/>
      <c r="P567" s="1774"/>
      <c r="Q567" s="1536"/>
      <c r="R567" s="1537"/>
      <c r="S567" s="1538"/>
      <c r="T567" s="1536"/>
      <c r="U567" s="1537"/>
      <c r="V567" s="1538"/>
      <c r="W567" s="1589"/>
      <c r="X567" s="1590"/>
      <c r="Y567" s="1591"/>
      <c r="Z567" s="1773" t="s">
        <v>1181</v>
      </c>
      <c r="AA567" s="1773"/>
      <c r="AB567" s="1773"/>
      <c r="AC567" s="1773"/>
      <c r="AD567" s="1773"/>
      <c r="AE567" s="1506"/>
      <c r="AF567" s="1507"/>
      <c r="AG567" s="1507"/>
      <c r="AH567" s="1508"/>
      <c r="AI567" s="1533"/>
      <c r="AJ567" s="1534"/>
      <c r="AK567" s="1534"/>
      <c r="AL567" s="1535"/>
      <c r="AM567" s="1503">
        <v>3899119</v>
      </c>
      <c r="AN567" s="1504"/>
      <c r="AO567" s="1504"/>
      <c r="AP567" s="1504"/>
      <c r="AQ567" s="1504"/>
      <c r="AR567" s="1504"/>
      <c r="AS567" s="1505"/>
      <c r="AT567" s="1137" t="str">
        <f t="shared" si="2"/>
        <v/>
      </c>
      <c r="AU567" s="1136"/>
      <c r="BB567" s="3"/>
      <c r="BC567" s="3"/>
      <c r="BD567" s="3"/>
      <c r="BE567" s="3"/>
      <c r="BF567" s="3"/>
      <c r="BG567" s="3"/>
      <c r="BH567" s="3" t="s">
        <v>582</v>
      </c>
      <c r="BI567" s="3" t="str">
        <f>AG673</f>
        <v>Yes</v>
      </c>
    </row>
    <row r="568" spans="1:61" ht="12.9" customHeight="1">
      <c r="B568" s="52" t="s">
        <v>453</v>
      </c>
      <c r="C568" s="1775" t="s">
        <v>2767</v>
      </c>
      <c r="D568" s="1775"/>
      <c r="E568" s="1775"/>
      <c r="F568" s="1775"/>
      <c r="G568" s="1775"/>
      <c r="H568" s="1775"/>
      <c r="I568" s="1775"/>
      <c r="J568" s="1775"/>
      <c r="K568" s="1775"/>
      <c r="L568" s="1775"/>
      <c r="M568" s="1774" t="s">
        <v>2054</v>
      </c>
      <c r="N568" s="1774"/>
      <c r="O568" s="1774"/>
      <c r="P568" s="1774"/>
      <c r="Q568" s="1536"/>
      <c r="R568" s="1537"/>
      <c r="S568" s="1538"/>
      <c r="T568" s="1536"/>
      <c r="U568" s="1537"/>
      <c r="V568" s="1538"/>
      <c r="W568" s="1589"/>
      <c r="X568" s="1590"/>
      <c r="Y568" s="1591"/>
      <c r="Z568" s="1773" t="s">
        <v>1181</v>
      </c>
      <c r="AA568" s="1773"/>
      <c r="AB568" s="1773"/>
      <c r="AC568" s="1773"/>
      <c r="AD568" s="1773"/>
      <c r="AE568" s="1506"/>
      <c r="AF568" s="1507"/>
      <c r="AG568" s="1507"/>
      <c r="AH568" s="1508"/>
      <c r="AI568" s="1533"/>
      <c r="AJ568" s="1534"/>
      <c r="AK568" s="1534"/>
      <c r="AL568" s="1535"/>
      <c r="AM568" s="1503">
        <f>79917904-SUM(AM562:AS567)</f>
        <v>11680094</v>
      </c>
      <c r="AN568" s="1504"/>
      <c r="AO568" s="1504"/>
      <c r="AP568" s="1504"/>
      <c r="AQ568" s="1504"/>
      <c r="AR568" s="1504"/>
      <c r="AS568" s="1505"/>
      <c r="AT568" s="1137" t="str">
        <f t="shared" si="2"/>
        <v/>
      </c>
      <c r="AU568" s="1136"/>
      <c r="BB568" s="3"/>
      <c r="BC568" s="3"/>
      <c r="BD568" s="3"/>
      <c r="BE568" s="3"/>
      <c r="BF568" s="3"/>
      <c r="BG568" s="3"/>
      <c r="BH568" s="3"/>
      <c r="BI568" s="3"/>
    </row>
    <row r="569" spans="1:61" ht="12.9" customHeight="1">
      <c r="B569" s="52" t="s">
        <v>454</v>
      </c>
      <c r="C569" s="1775"/>
      <c r="D569" s="1775"/>
      <c r="E569" s="1775"/>
      <c r="F569" s="1775"/>
      <c r="G569" s="1775"/>
      <c r="H569" s="1775"/>
      <c r="I569" s="1775"/>
      <c r="J569" s="1775"/>
      <c r="K569" s="1775"/>
      <c r="L569" s="1775"/>
      <c r="M569" s="1774" t="s">
        <v>2053</v>
      </c>
      <c r="N569" s="1774"/>
      <c r="O569" s="1774"/>
      <c r="P569" s="1774"/>
      <c r="Q569" s="1536"/>
      <c r="R569" s="1537"/>
      <c r="S569" s="1538"/>
      <c r="T569" s="1536"/>
      <c r="U569" s="1537"/>
      <c r="V569" s="1538"/>
      <c r="W569" s="1589"/>
      <c r="X569" s="1590"/>
      <c r="Y569" s="1591"/>
      <c r="Z569" s="1773" t="s">
        <v>1181</v>
      </c>
      <c r="AA569" s="1773"/>
      <c r="AB569" s="1773"/>
      <c r="AC569" s="1773"/>
      <c r="AD569" s="1773"/>
      <c r="AE569" s="1506"/>
      <c r="AF569" s="1507"/>
      <c r="AG569" s="1507"/>
      <c r="AH569" s="1508"/>
      <c r="AI569" s="1533"/>
      <c r="AJ569" s="1534"/>
      <c r="AK569" s="1534"/>
      <c r="AL569" s="1535"/>
      <c r="AM569" s="1503"/>
      <c r="AN569" s="1504"/>
      <c r="AO569" s="1504"/>
      <c r="AP569" s="1504"/>
      <c r="AQ569" s="1504"/>
      <c r="AR569" s="1504"/>
      <c r="AS569" s="1505"/>
      <c r="AT569" s="1137" t="str">
        <f t="shared" si="2"/>
        <v/>
      </c>
      <c r="AU569" s="1136"/>
      <c r="BB569" s="3"/>
      <c r="BC569" s="3"/>
      <c r="BD569" s="3"/>
      <c r="BE569" s="3"/>
      <c r="BF569" s="3"/>
      <c r="BG569" s="3"/>
      <c r="BH569" s="3"/>
      <c r="BI569" s="3"/>
    </row>
    <row r="570" spans="1:61" ht="12.9" customHeight="1">
      <c r="B570" s="52" t="s">
        <v>459</v>
      </c>
      <c r="C570" s="1775"/>
      <c r="D570" s="1775"/>
      <c r="E570" s="1775"/>
      <c r="F570" s="1775"/>
      <c r="G570" s="1775"/>
      <c r="H570" s="1775"/>
      <c r="I570" s="1775"/>
      <c r="J570" s="1775"/>
      <c r="K570" s="1775"/>
      <c r="L570" s="1775"/>
      <c r="M570" s="1774" t="s">
        <v>1181</v>
      </c>
      <c r="N570" s="1774"/>
      <c r="O570" s="1774"/>
      <c r="P570" s="1774"/>
      <c r="Q570" s="1536"/>
      <c r="R570" s="1537"/>
      <c r="S570" s="1538"/>
      <c r="T570" s="1536"/>
      <c r="U570" s="1537"/>
      <c r="V570" s="1538"/>
      <c r="W570" s="1589"/>
      <c r="X570" s="1590"/>
      <c r="Y570" s="1591"/>
      <c r="Z570" s="1773" t="s">
        <v>1181</v>
      </c>
      <c r="AA570" s="1773"/>
      <c r="AB570" s="1773"/>
      <c r="AC570" s="1773"/>
      <c r="AD570" s="1773"/>
      <c r="AE570" s="1506"/>
      <c r="AF570" s="1507"/>
      <c r="AG570" s="1507"/>
      <c r="AH570" s="1508"/>
      <c r="AI570" s="1533"/>
      <c r="AJ570" s="1534"/>
      <c r="AK570" s="1534"/>
      <c r="AL570" s="1535"/>
      <c r="AM570" s="1503"/>
      <c r="AN570" s="1504"/>
      <c r="AO570" s="1504"/>
      <c r="AP570" s="1504"/>
      <c r="AQ570" s="1504"/>
      <c r="AR570" s="1504"/>
      <c r="AS570" s="1505"/>
      <c r="AT570" s="1137" t="str">
        <f t="shared" si="2"/>
        <v/>
      </c>
      <c r="AU570" s="1136"/>
      <c r="BB570" s="3"/>
      <c r="BC570" s="3"/>
      <c r="BD570" s="3"/>
      <c r="BE570" s="3"/>
      <c r="BF570" s="3"/>
      <c r="BG570" s="3"/>
      <c r="BH570" s="3"/>
      <c r="BI570" s="3"/>
    </row>
    <row r="571" spans="1:61" ht="12.9" customHeight="1">
      <c r="B571" s="52" t="s">
        <v>644</v>
      </c>
      <c r="C571" s="1775"/>
      <c r="D571" s="1775"/>
      <c r="E571" s="1775"/>
      <c r="F571" s="1775"/>
      <c r="G571" s="1775"/>
      <c r="H571" s="1775"/>
      <c r="I571" s="1775"/>
      <c r="J571" s="1775"/>
      <c r="K571" s="1775"/>
      <c r="L571" s="1775"/>
      <c r="M571" s="1774" t="s">
        <v>1181</v>
      </c>
      <c r="N571" s="1774"/>
      <c r="O571" s="1774"/>
      <c r="P571" s="1774"/>
      <c r="Q571" s="1536"/>
      <c r="R571" s="1537"/>
      <c r="S571" s="1538"/>
      <c r="T571" s="1536"/>
      <c r="U571" s="1537"/>
      <c r="V571" s="1538"/>
      <c r="W571" s="1589"/>
      <c r="X571" s="1590"/>
      <c r="Y571" s="1591"/>
      <c r="Z571" s="1773" t="s">
        <v>1181</v>
      </c>
      <c r="AA571" s="1773"/>
      <c r="AB571" s="1773"/>
      <c r="AC571" s="1773"/>
      <c r="AD571" s="1773"/>
      <c r="AE571" s="1506"/>
      <c r="AF571" s="1507"/>
      <c r="AG571" s="1507"/>
      <c r="AH571" s="1508"/>
      <c r="AI571" s="1533"/>
      <c r="AJ571" s="1534"/>
      <c r="AK571" s="1534"/>
      <c r="AL571" s="1535"/>
      <c r="AM571" s="1503"/>
      <c r="AN571" s="1504"/>
      <c r="AO571" s="1504"/>
      <c r="AP571" s="1504"/>
      <c r="AQ571" s="1504"/>
      <c r="AR571" s="1504"/>
      <c r="AS571" s="1505"/>
      <c r="AT571" s="1137" t="str">
        <f t="shared" si="2"/>
        <v/>
      </c>
      <c r="BB571" s="3"/>
      <c r="BC571" s="3"/>
      <c r="BD571" s="3"/>
      <c r="BE571" s="3"/>
      <c r="BF571" s="3"/>
      <c r="BG571" s="3"/>
      <c r="BH571" s="3"/>
      <c r="BI571" s="3"/>
    </row>
    <row r="572" spans="1:61" ht="12.9" customHeight="1">
      <c r="B572" s="52" t="s">
        <v>362</v>
      </c>
      <c r="C572" s="1775"/>
      <c r="D572" s="1775"/>
      <c r="E572" s="1775"/>
      <c r="F572" s="1775"/>
      <c r="G572" s="1775"/>
      <c r="H572" s="1775"/>
      <c r="I572" s="1775"/>
      <c r="J572" s="1775"/>
      <c r="K572" s="1775"/>
      <c r="L572" s="1775"/>
      <c r="M572" s="1774" t="s">
        <v>1181</v>
      </c>
      <c r="N572" s="1774"/>
      <c r="O572" s="1774"/>
      <c r="P572" s="1774"/>
      <c r="Q572" s="1536"/>
      <c r="R572" s="1537"/>
      <c r="S572" s="1538"/>
      <c r="T572" s="1536"/>
      <c r="U572" s="1537"/>
      <c r="V572" s="1538"/>
      <c r="W572" s="1589"/>
      <c r="X572" s="1590"/>
      <c r="Y572" s="1591"/>
      <c r="Z572" s="1773" t="s">
        <v>1181</v>
      </c>
      <c r="AA572" s="1773"/>
      <c r="AB572" s="1773"/>
      <c r="AC572" s="1773"/>
      <c r="AD572" s="1773"/>
      <c r="AE572" s="1506"/>
      <c r="AF572" s="1507"/>
      <c r="AG572" s="1507"/>
      <c r="AH572" s="1508"/>
      <c r="AI572" s="1533"/>
      <c r="AJ572" s="1534"/>
      <c r="AK572" s="1534"/>
      <c r="AL572" s="1535"/>
      <c r="AM572" s="1503"/>
      <c r="AN572" s="1504"/>
      <c r="AO572" s="1504"/>
      <c r="AP572" s="1504"/>
      <c r="AQ572" s="1504"/>
      <c r="AR572" s="1504"/>
      <c r="AS572" s="1505"/>
      <c r="AT572" s="1137" t="str">
        <f t="shared" si="2"/>
        <v/>
      </c>
      <c r="BB572" s="3"/>
      <c r="BC572" s="3"/>
      <c r="BD572" s="3"/>
      <c r="BE572" s="3"/>
      <c r="BF572" s="3"/>
      <c r="BG572" s="3"/>
      <c r="BH572" s="3"/>
      <c r="BI572" s="3"/>
    </row>
    <row r="573" spans="1:61" ht="12.9" customHeight="1">
      <c r="B573" s="52" t="s">
        <v>363</v>
      </c>
      <c r="C573" s="1775"/>
      <c r="D573" s="1775"/>
      <c r="E573" s="1775"/>
      <c r="F573" s="1775"/>
      <c r="G573" s="1775"/>
      <c r="H573" s="1775"/>
      <c r="I573" s="1775"/>
      <c r="J573" s="1775"/>
      <c r="K573" s="1775"/>
      <c r="L573" s="1775"/>
      <c r="M573" s="1774" t="s">
        <v>1181</v>
      </c>
      <c r="N573" s="1774"/>
      <c r="O573" s="1774"/>
      <c r="P573" s="1774"/>
      <c r="Q573" s="1536"/>
      <c r="R573" s="1537"/>
      <c r="S573" s="1538"/>
      <c r="T573" s="1536"/>
      <c r="U573" s="1537"/>
      <c r="V573" s="1538"/>
      <c r="W573" s="1589"/>
      <c r="X573" s="1590"/>
      <c r="Y573" s="1591"/>
      <c r="Z573" s="1773" t="s">
        <v>1181</v>
      </c>
      <c r="AA573" s="1773"/>
      <c r="AB573" s="1773"/>
      <c r="AC573" s="1773"/>
      <c r="AD573" s="1773"/>
      <c r="AE573" s="1506"/>
      <c r="AF573" s="1507"/>
      <c r="AG573" s="1507"/>
      <c r="AH573" s="1508"/>
      <c r="AI573" s="1533"/>
      <c r="AJ573" s="1534"/>
      <c r="AK573" s="1534"/>
      <c r="AL573" s="1535"/>
      <c r="AM573" s="1503"/>
      <c r="AN573" s="1504"/>
      <c r="AO573" s="1504"/>
      <c r="AP573" s="1504"/>
      <c r="AQ573" s="1504"/>
      <c r="AR573" s="1504"/>
      <c r="AS573" s="1505"/>
      <c r="AT573" s="1137" t="str">
        <f t="shared" si="2"/>
        <v/>
      </c>
      <c r="BB573" s="3"/>
      <c r="BC573" s="3"/>
      <c r="BD573" s="3"/>
      <c r="BE573" s="3"/>
      <c r="BF573" s="3"/>
      <c r="BG573" s="3"/>
      <c r="BH573" s="3"/>
      <c r="BI573" s="3"/>
    </row>
    <row r="574" spans="1:61" ht="12.9" customHeight="1">
      <c r="B574" s="1586" t="s">
        <v>127</v>
      </c>
      <c r="C574" s="1587"/>
      <c r="D574" s="1587"/>
      <c r="E574" s="1587"/>
      <c r="F574" s="1587"/>
      <c r="G574" s="1587"/>
      <c r="H574" s="1587"/>
      <c r="I574" s="1587"/>
      <c r="J574" s="1587"/>
      <c r="K574" s="1587"/>
      <c r="L574" s="1587"/>
      <c r="M574" s="1587"/>
      <c r="N574" s="1587"/>
      <c r="O574" s="1587"/>
      <c r="P574" s="1587"/>
      <c r="Q574" s="1587"/>
      <c r="R574" s="1587"/>
      <c r="S574" s="1587"/>
      <c r="T574" s="1587"/>
      <c r="U574" s="1777"/>
      <c r="V574" s="1587"/>
      <c r="W574" s="1587"/>
      <c r="X574" s="1587"/>
      <c r="Y574" s="1587"/>
      <c r="Z574" s="1587"/>
      <c r="AA574" s="1587"/>
      <c r="AB574" s="1587"/>
      <c r="AC574" s="1587"/>
      <c r="AD574" s="1587"/>
      <c r="AE574" s="1587"/>
      <c r="AF574" s="1587"/>
      <c r="AG574" s="1587"/>
      <c r="AH574" s="1587"/>
      <c r="AI574" s="1587"/>
      <c r="AJ574" s="1587"/>
      <c r="AK574" s="1587"/>
      <c r="AL574" s="1588"/>
      <c r="AM574" s="1540">
        <f>SUM(AM562:AS573)</f>
        <v>79917904</v>
      </c>
      <c r="AN574" s="1541"/>
      <c r="AO574" s="1541"/>
      <c r="AP574" s="1541"/>
      <c r="AQ574" s="1541"/>
      <c r="AR574" s="1541"/>
      <c r="AS574" s="1542"/>
      <c r="BB574" s="3"/>
      <c r="BC574" s="3"/>
      <c r="BD574" s="3"/>
      <c r="BE574" s="3"/>
      <c r="BF574" s="3"/>
      <c r="BG574" s="3"/>
      <c r="BH574" s="3" t="s">
        <v>453</v>
      </c>
      <c r="BI574" s="3">
        <f>N681</f>
        <v>0</v>
      </c>
    </row>
    <row r="575" spans="1:61" ht="12.9"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454</v>
      </c>
      <c r="BI575" s="3" t="str">
        <f>AG681</f>
        <v>No</v>
      </c>
    </row>
    <row r="576" spans="1:61" ht="12.9" customHeight="1">
      <c r="A576" s="55" t="s">
        <v>112</v>
      </c>
      <c r="B576" t="s">
        <v>461</v>
      </c>
      <c r="G576" s="1512" t="str">
        <f>C562</f>
        <v>CitiBank</v>
      </c>
      <c r="H576" s="1512"/>
      <c r="I576" s="1512"/>
      <c r="J576" s="1512"/>
      <c r="K576" s="1512"/>
      <c r="L576" s="1512"/>
      <c r="M576" s="1512"/>
      <c r="N576" s="1512"/>
      <c r="O576" s="1512"/>
      <c r="P576" s="1512"/>
      <c r="Q576" s="1512"/>
      <c r="R576" s="1512"/>
      <c r="S576" s="8"/>
      <c r="T576" s="55" t="s">
        <v>113</v>
      </c>
      <c r="U576" t="s">
        <v>461</v>
      </c>
      <c r="Z576" s="1512" t="str">
        <f>C563</f>
        <v>Stifel, Nicolaus and Company</v>
      </c>
      <c r="AA576" s="1512"/>
      <c r="AB576" s="1512"/>
      <c r="AC576" s="1512"/>
      <c r="AD576" s="1512"/>
      <c r="AE576" s="1512"/>
      <c r="AF576" s="1512"/>
      <c r="AG576" s="1512"/>
      <c r="AH576" s="1512"/>
      <c r="AI576" s="1512"/>
      <c r="AJ576" s="1512"/>
      <c r="AK576" s="1512"/>
      <c r="BB576" s="3"/>
      <c r="BC576" s="3"/>
      <c r="BD576" s="3"/>
      <c r="BE576" s="3"/>
      <c r="BF576" s="3"/>
      <c r="BG576" s="3"/>
      <c r="BH576" s="3"/>
      <c r="BI576" s="3"/>
    </row>
    <row r="577" spans="1:61" ht="12.9" customHeight="1">
      <c r="A577" s="22"/>
      <c r="B577" t="s">
        <v>85</v>
      </c>
      <c r="G577" s="1539" t="s">
        <v>2768</v>
      </c>
      <c r="H577" s="1539"/>
      <c r="I577" s="1539"/>
      <c r="J577" s="1539"/>
      <c r="K577" s="1539"/>
      <c r="L577" s="1539"/>
      <c r="M577" s="1539"/>
      <c r="N577" s="1539"/>
      <c r="O577" s="1539"/>
      <c r="P577" s="1539"/>
      <c r="Q577" s="1539"/>
      <c r="R577" s="1539"/>
      <c r="S577" s="8"/>
      <c r="T577" s="22"/>
      <c r="U577" t="s">
        <v>85</v>
      </c>
      <c r="Z577" s="1539" t="s">
        <v>2830</v>
      </c>
      <c r="AA577" s="1539"/>
      <c r="AB577" s="1539"/>
      <c r="AC577" s="1539"/>
      <c r="AD577" s="1539"/>
      <c r="AE577" s="1539"/>
      <c r="AF577" s="1539"/>
      <c r="AG577" s="1539"/>
      <c r="AH577" s="1539"/>
      <c r="AI577" s="1539"/>
      <c r="AJ577" s="1539"/>
      <c r="AK577" s="1539"/>
      <c r="BB577" s="3"/>
      <c r="BC577" s="3"/>
      <c r="BD577" s="3"/>
      <c r="BE577" s="3"/>
      <c r="BF577" s="3"/>
      <c r="BG577" s="3"/>
      <c r="BH577" s="3"/>
      <c r="BI577" s="3"/>
    </row>
    <row r="578" spans="1:61" ht="12.9" customHeight="1">
      <c r="A578" s="22"/>
      <c r="B578" t="s">
        <v>578</v>
      </c>
      <c r="G578" s="1539" t="s">
        <v>2769</v>
      </c>
      <c r="H578" s="1539"/>
      <c r="I578" s="1539"/>
      <c r="J578" s="1539"/>
      <c r="K578" s="1539"/>
      <c r="L578" s="1539"/>
      <c r="M578" s="1539"/>
      <c r="N578" s="1539"/>
      <c r="O578" s="1539"/>
      <c r="P578" s="1539"/>
      <c r="Q578" s="1539"/>
      <c r="R578" s="1539"/>
      <c r="T578" s="22"/>
      <c r="U578" t="s">
        <v>578</v>
      </c>
      <c r="Z578" s="1516" t="s">
        <v>2831</v>
      </c>
      <c r="AA578" s="1516"/>
      <c r="AB578" s="1516"/>
      <c r="AC578" s="1516"/>
      <c r="AD578" s="1516"/>
      <c r="AE578" s="1516"/>
      <c r="AF578" s="1516"/>
      <c r="AG578" s="1516"/>
      <c r="AH578" s="1516"/>
      <c r="AI578" s="1516"/>
      <c r="AJ578" s="1516"/>
      <c r="AK578" s="1516"/>
      <c r="BB578" s="3"/>
      <c r="BC578" s="3"/>
      <c r="BD578" s="3"/>
      <c r="BE578" s="3"/>
      <c r="BF578" s="3"/>
      <c r="BG578" s="3"/>
      <c r="BH578" s="3"/>
      <c r="BI578" s="3"/>
    </row>
    <row r="579" spans="1:61" ht="12.9" customHeight="1">
      <c r="A579" s="22"/>
      <c r="B579" t="s">
        <v>17</v>
      </c>
      <c r="G579" s="1539" t="s">
        <v>2770</v>
      </c>
      <c r="H579" s="1539"/>
      <c r="I579" s="1539"/>
      <c r="J579" s="1539"/>
      <c r="K579" s="1539"/>
      <c r="L579" s="1539"/>
      <c r="M579" s="1539"/>
      <c r="N579" s="1539"/>
      <c r="O579" s="1539"/>
      <c r="P579" s="1539"/>
      <c r="Q579" s="1539"/>
      <c r="R579" s="1539"/>
      <c r="S579" s="8"/>
      <c r="T579" s="22"/>
      <c r="U579" t="s">
        <v>17</v>
      </c>
      <c r="Z579" s="1516" t="s">
        <v>2832</v>
      </c>
      <c r="AA579" s="1516"/>
      <c r="AB579" s="1516"/>
      <c r="AC579" s="1516"/>
      <c r="AD579" s="1516"/>
      <c r="AE579" s="1516"/>
      <c r="AF579" s="1516"/>
      <c r="AG579" s="1516"/>
      <c r="AH579" s="1516"/>
      <c r="AI579" s="1516"/>
      <c r="AJ579" s="1516"/>
      <c r="AK579" s="1516"/>
      <c r="BB579" s="3"/>
      <c r="BC579" s="3"/>
      <c r="BD579" s="3"/>
      <c r="BE579" s="3"/>
      <c r="BF579" s="3"/>
      <c r="BG579" s="3"/>
      <c r="BH579" s="3"/>
      <c r="BI579" s="3"/>
    </row>
    <row r="580" spans="1:61" ht="12.9" customHeight="1">
      <c r="A580" s="22"/>
      <c r="B580" t="s">
        <v>316</v>
      </c>
      <c r="G580" s="1517" t="s">
        <v>2771</v>
      </c>
      <c r="H580" s="1517"/>
      <c r="I580" s="1517"/>
      <c r="J580" s="1517"/>
      <c r="K580" s="1517"/>
      <c r="L580" s="1517"/>
      <c r="O580" s="33" t="s">
        <v>206</v>
      </c>
      <c r="P580" s="1543"/>
      <c r="Q580" s="1543"/>
      <c r="R580" s="1543"/>
      <c r="S580" s="10"/>
      <c r="T580" s="22"/>
      <c r="U580" t="s">
        <v>316</v>
      </c>
      <c r="Z580" s="1553" t="s">
        <v>2833</v>
      </c>
      <c r="AA580" s="1517"/>
      <c r="AB580" s="1517"/>
      <c r="AC580" s="1517"/>
      <c r="AD580" s="1517"/>
      <c r="AE580" s="1517"/>
      <c r="AH580" s="33" t="s">
        <v>206</v>
      </c>
      <c r="AI580" s="1543"/>
      <c r="AJ580" s="1543"/>
      <c r="AK580" s="1543"/>
      <c r="BB580" s="3"/>
      <c r="BC580" s="3"/>
      <c r="BD580" s="3"/>
      <c r="BE580" s="3"/>
      <c r="BF580" s="3"/>
      <c r="BG580" s="3"/>
      <c r="BH580" s="3"/>
      <c r="BI580" s="3"/>
    </row>
    <row r="581" spans="1:61" ht="12.9" customHeight="1">
      <c r="A581" s="22"/>
      <c r="B581" t="s">
        <v>18</v>
      </c>
      <c r="H581" s="1539" t="s">
        <v>2772</v>
      </c>
      <c r="I581" s="1539"/>
      <c r="J581" s="1539"/>
      <c r="K581" s="1539"/>
      <c r="L581" s="1539"/>
      <c r="M581" s="1539"/>
      <c r="N581" s="1539"/>
      <c r="O581" s="1539"/>
      <c r="P581" s="1539"/>
      <c r="Q581" s="1539"/>
      <c r="R581" s="1539"/>
      <c r="S581" s="8"/>
      <c r="T581" s="22"/>
      <c r="U581" t="s">
        <v>18</v>
      </c>
      <c r="AA581" s="1539" t="s">
        <v>2773</v>
      </c>
      <c r="AB581" s="1539"/>
      <c r="AC581" s="1539"/>
      <c r="AD581" s="1539"/>
      <c r="AE581" s="1539"/>
      <c r="AF581" s="1539"/>
      <c r="AG581" s="1539"/>
      <c r="AH581" s="1539"/>
      <c r="AI581" s="1539"/>
      <c r="AJ581" s="1539"/>
      <c r="AK581" s="1539"/>
      <c r="BB581" s="3"/>
      <c r="BC581" s="3"/>
      <c r="BD581" s="3"/>
      <c r="BE581" s="3"/>
      <c r="BF581" s="3"/>
      <c r="BG581" s="3"/>
      <c r="BH581" s="3"/>
      <c r="BI581" s="3"/>
    </row>
    <row r="582" spans="1:61" ht="12.9" customHeight="1">
      <c r="A582" s="22"/>
      <c r="B582" s="317" t="s">
        <v>1182</v>
      </c>
      <c r="H582" s="8"/>
      <c r="I582" s="8"/>
      <c r="J582" s="8"/>
      <c r="K582" s="8"/>
      <c r="L582" s="8"/>
      <c r="M582" s="1558" t="s">
        <v>2835</v>
      </c>
      <c r="N582" s="1558"/>
      <c r="O582" s="1558"/>
      <c r="P582" s="1558"/>
      <c r="Q582" s="1558"/>
      <c r="R582" s="1558"/>
      <c r="S582" s="8"/>
      <c r="T582" s="22"/>
      <c r="U582" s="317" t="s">
        <v>1182</v>
      </c>
      <c r="AA582" s="8"/>
      <c r="AB582" s="8"/>
      <c r="AC582" s="8"/>
      <c r="AD582" s="8"/>
      <c r="AE582" s="8"/>
      <c r="AF582" s="1558"/>
      <c r="AG582" s="1558"/>
      <c r="AH582" s="1558"/>
      <c r="AI582" s="1558"/>
      <c r="AJ582" s="1558"/>
      <c r="AK582" s="1558"/>
      <c r="BB582" s="3"/>
      <c r="BC582" s="3"/>
      <c r="BD582" s="3"/>
      <c r="BE582" s="3"/>
      <c r="BF582" s="3"/>
      <c r="BG582" s="3"/>
      <c r="BH582" s="3"/>
      <c r="BI582" s="3"/>
    </row>
    <row r="583" spans="1:61" ht="12.9" customHeight="1">
      <c r="A583" s="22"/>
      <c r="B583" t="s">
        <v>20</v>
      </c>
      <c r="N583" s="1424" t="s">
        <v>543</v>
      </c>
      <c r="O583" s="1424"/>
      <c r="T583" s="22"/>
      <c r="U583" t="s">
        <v>20</v>
      </c>
      <c r="AG583" s="1424" t="s">
        <v>543</v>
      </c>
      <c r="AH583" s="1424"/>
      <c r="BB583" s="3"/>
      <c r="BC583" s="3"/>
      <c r="BD583" s="3"/>
      <c r="BE583" s="3"/>
      <c r="BF583" s="3"/>
      <c r="BG583" s="3"/>
      <c r="BH583" s="3"/>
      <c r="BI583" s="3"/>
    </row>
    <row r="584" spans="1:61" ht="12.9" customHeight="1">
      <c r="A584" s="22"/>
      <c r="T584" s="22"/>
      <c r="BB584" s="3"/>
      <c r="BC584" s="3"/>
      <c r="BD584" s="3"/>
      <c r="BE584" s="3"/>
      <c r="BF584" s="3"/>
      <c r="BG584" s="3"/>
      <c r="BH584" s="3"/>
      <c r="BI584" s="3"/>
    </row>
    <row r="585" spans="1:61" ht="12.9" customHeight="1">
      <c r="A585" s="55" t="s">
        <v>119</v>
      </c>
      <c r="B585" t="s">
        <v>461</v>
      </c>
      <c r="G585" s="1512" t="str">
        <f>C564</f>
        <v>CitiBank</v>
      </c>
      <c r="H585" s="1512"/>
      <c r="I585" s="1512"/>
      <c r="J585" s="1512"/>
      <c r="K585" s="1512"/>
      <c r="L585" s="1512"/>
      <c r="M585" s="1512"/>
      <c r="N585" s="1512"/>
      <c r="O585" s="1512"/>
      <c r="P585" s="1512"/>
      <c r="Q585" s="1512"/>
      <c r="R585" s="1512"/>
      <c r="T585" s="55" t="s">
        <v>579</v>
      </c>
      <c r="U585" t="s">
        <v>461</v>
      </c>
      <c r="Z585" s="1512" t="str">
        <f>C565</f>
        <v>US Bancorp</v>
      </c>
      <c r="AA585" s="1512"/>
      <c r="AB585" s="1512"/>
      <c r="AC585" s="1512"/>
      <c r="AD585" s="1512"/>
      <c r="AE585" s="1512"/>
      <c r="AF585" s="1512"/>
      <c r="AG585" s="1512"/>
      <c r="AH585" s="1512"/>
      <c r="AI585" s="1512"/>
      <c r="AJ585" s="1512"/>
      <c r="AK585" s="1512"/>
      <c r="BB585" s="3"/>
      <c r="BC585" s="3"/>
    </row>
    <row r="586" spans="1:61" ht="12.9" customHeight="1">
      <c r="A586" s="22"/>
      <c r="B586" t="s">
        <v>85</v>
      </c>
      <c r="G586" s="1539" t="s">
        <v>2768</v>
      </c>
      <c r="H586" s="1539"/>
      <c r="I586" s="1539"/>
      <c r="J586" s="1539"/>
      <c r="K586" s="1539"/>
      <c r="L586" s="1539"/>
      <c r="M586" s="1539"/>
      <c r="N586" s="1539"/>
      <c r="O586" s="1539"/>
      <c r="P586" s="1539"/>
      <c r="Q586" s="1539"/>
      <c r="R586" s="1539"/>
      <c r="T586" s="22"/>
      <c r="U586" t="s">
        <v>85</v>
      </c>
      <c r="Z586" s="1539" t="s">
        <v>2734</v>
      </c>
      <c r="AA586" s="1539"/>
      <c r="AB586" s="1539"/>
      <c r="AC586" s="1539"/>
      <c r="AD586" s="1539"/>
      <c r="AE586" s="1539"/>
      <c r="AF586" s="1539"/>
      <c r="AG586" s="1539"/>
      <c r="AH586" s="1539"/>
      <c r="AI586" s="1539"/>
      <c r="AJ586" s="1539"/>
      <c r="AK586" s="1539"/>
      <c r="BB586" s="3"/>
      <c r="BC586" s="3"/>
    </row>
    <row r="587" spans="1:61" ht="12.9" customHeight="1">
      <c r="A587" s="22"/>
      <c r="B587" t="s">
        <v>578</v>
      </c>
      <c r="G587" s="1516" t="s">
        <v>2769</v>
      </c>
      <c r="H587" s="1516"/>
      <c r="I587" s="1516"/>
      <c r="J587" s="1516"/>
      <c r="K587" s="1516"/>
      <c r="L587" s="1516"/>
      <c r="M587" s="1516"/>
      <c r="N587" s="1516"/>
      <c r="O587" s="1516"/>
      <c r="P587" s="1516"/>
      <c r="Q587" s="1516"/>
      <c r="R587" s="1516"/>
      <c r="T587" s="22"/>
      <c r="U587" t="s">
        <v>578</v>
      </c>
      <c r="Z587" s="1516" t="s">
        <v>2735</v>
      </c>
      <c r="AA587" s="1516"/>
      <c r="AB587" s="1516"/>
      <c r="AC587" s="1516"/>
      <c r="AD587" s="1516"/>
      <c r="AE587" s="1516"/>
      <c r="AF587" s="1516"/>
      <c r="AG587" s="1516"/>
      <c r="AH587" s="1516"/>
      <c r="AI587" s="1516"/>
      <c r="AJ587" s="1516"/>
      <c r="AK587" s="1516"/>
      <c r="BB587" s="3"/>
      <c r="BC587" s="3"/>
    </row>
    <row r="588" spans="1:61" ht="12.9" customHeight="1">
      <c r="A588" s="22"/>
      <c r="B588" t="s">
        <v>17</v>
      </c>
      <c r="G588" s="1516" t="s">
        <v>2770</v>
      </c>
      <c r="H588" s="1516"/>
      <c r="I588" s="1516"/>
      <c r="J588" s="1516"/>
      <c r="K588" s="1516"/>
      <c r="L588" s="1516"/>
      <c r="M588" s="1516"/>
      <c r="N588" s="1516"/>
      <c r="O588" s="1516"/>
      <c r="P588" s="1516"/>
      <c r="Q588" s="1516"/>
      <c r="R588" s="1516"/>
      <c r="T588" s="22"/>
      <c r="U588" t="s">
        <v>17</v>
      </c>
      <c r="Z588" s="1516" t="s">
        <v>2736</v>
      </c>
      <c r="AA588" s="1516"/>
      <c r="AB588" s="1516"/>
      <c r="AC588" s="1516"/>
      <c r="AD588" s="1516"/>
      <c r="AE588" s="1516"/>
      <c r="AF588" s="1516"/>
      <c r="AG588" s="1516"/>
      <c r="AH588" s="1516"/>
      <c r="AI588" s="1516"/>
      <c r="AJ588" s="1516"/>
      <c r="AK588" s="1516"/>
      <c r="BB588" s="3"/>
      <c r="BC588" s="3"/>
    </row>
    <row r="589" spans="1:61" ht="12.9" customHeight="1">
      <c r="A589" s="22"/>
      <c r="B589" t="s">
        <v>316</v>
      </c>
      <c r="G589" s="1517" t="s">
        <v>2771</v>
      </c>
      <c r="H589" s="1517"/>
      <c r="I589" s="1517"/>
      <c r="J589" s="1517"/>
      <c r="K589" s="1517"/>
      <c r="L589" s="1517"/>
      <c r="O589" s="33" t="s">
        <v>206</v>
      </c>
      <c r="P589" s="1543"/>
      <c r="Q589" s="1543"/>
      <c r="R589" s="1543"/>
      <c r="T589" s="22"/>
      <c r="U589" t="s">
        <v>316</v>
      </c>
      <c r="Z589" s="1553" t="s">
        <v>2737</v>
      </c>
      <c r="AA589" s="1517"/>
      <c r="AB589" s="1517"/>
      <c r="AC589" s="1517"/>
      <c r="AD589" s="1517"/>
      <c r="AE589" s="1517"/>
      <c r="AH589" s="33" t="s">
        <v>206</v>
      </c>
      <c r="AI589" s="1543"/>
      <c r="AJ589" s="1543"/>
      <c r="AK589" s="1543"/>
      <c r="BB589" s="3"/>
      <c r="BC589" s="3"/>
    </row>
    <row r="590" spans="1:61" ht="12.9" customHeight="1">
      <c r="A590" s="22"/>
      <c r="B590" t="s">
        <v>18</v>
      </c>
      <c r="H590" s="1539" t="s">
        <v>2066</v>
      </c>
      <c r="I590" s="1539"/>
      <c r="J590" s="1539"/>
      <c r="K590" s="1539"/>
      <c r="L590" s="1539"/>
      <c r="M590" s="1539"/>
      <c r="N590" s="1539"/>
      <c r="O590" s="1539"/>
      <c r="P590" s="1539"/>
      <c r="Q590" s="1539"/>
      <c r="R590" s="1539"/>
      <c r="T590" s="22"/>
      <c r="U590" t="s">
        <v>18</v>
      </c>
      <c r="AA590" s="1539" t="s">
        <v>2834</v>
      </c>
      <c r="AB590" s="1539"/>
      <c r="AC590" s="1539"/>
      <c r="AD590" s="1539"/>
      <c r="AE590" s="1539"/>
      <c r="AF590" s="1539"/>
      <c r="AG590" s="1539"/>
      <c r="AH590" s="1539"/>
      <c r="AI590" s="1539"/>
      <c r="AJ590" s="1539"/>
      <c r="AK590" s="1539"/>
      <c r="BB590" s="3"/>
      <c r="BC590" s="3"/>
    </row>
    <row r="591" spans="1:61" ht="12.9" customHeight="1">
      <c r="A591" s="22"/>
      <c r="B591" t="s">
        <v>20</v>
      </c>
      <c r="N591" s="1424" t="s">
        <v>543</v>
      </c>
      <c r="O591" s="1424"/>
      <c r="T591" s="22"/>
      <c r="U591" t="s">
        <v>20</v>
      </c>
      <c r="AG591" s="1424" t="s">
        <v>543</v>
      </c>
      <c r="AH591" s="1424"/>
      <c r="BB591" s="3"/>
      <c r="BC591" s="3"/>
    </row>
    <row r="592" spans="1:61" ht="12.9" customHeight="1">
      <c r="A592" s="22"/>
      <c r="T592" s="22"/>
      <c r="BB592" s="3"/>
      <c r="BC592" s="3"/>
    </row>
    <row r="593" spans="1:55" ht="12.9" customHeight="1">
      <c r="A593" s="55" t="s">
        <v>761</v>
      </c>
      <c r="B593" t="s">
        <v>461</v>
      </c>
      <c r="G593" s="1512" t="str">
        <f>C566</f>
        <v>Safehold Inc.</v>
      </c>
      <c r="H593" s="1512"/>
      <c r="I593" s="1512"/>
      <c r="J593" s="1512"/>
      <c r="K593" s="1512"/>
      <c r="L593" s="1512"/>
      <c r="M593" s="1512"/>
      <c r="N593" s="1512"/>
      <c r="O593" s="1512"/>
      <c r="P593" s="1512"/>
      <c r="Q593" s="1512"/>
      <c r="R593" s="1512"/>
      <c r="T593" s="55" t="s">
        <v>582</v>
      </c>
      <c r="U593" t="s">
        <v>461</v>
      </c>
      <c r="Z593" s="1512" t="str">
        <f>C567</f>
        <v>Short-Term Bond Reinvestment</v>
      </c>
      <c r="AA593" s="1512"/>
      <c r="AB593" s="1512"/>
      <c r="AC593" s="1512"/>
      <c r="AD593" s="1512"/>
      <c r="AE593" s="1512"/>
      <c r="AF593" s="1512"/>
      <c r="AG593" s="1512"/>
      <c r="AH593" s="1512"/>
      <c r="AI593" s="1512"/>
      <c r="AJ593" s="1512"/>
      <c r="AK593" s="1512"/>
      <c r="BB593" s="3"/>
      <c r="BC593" s="3"/>
    </row>
    <row r="594" spans="1:55" ht="12.9" customHeight="1">
      <c r="A594" s="22"/>
      <c r="B594" t="s">
        <v>85</v>
      </c>
      <c r="G594" s="1539" t="s">
        <v>2775</v>
      </c>
      <c r="H594" s="1539"/>
      <c r="I594" s="1539"/>
      <c r="J594" s="1539"/>
      <c r="K594" s="1539"/>
      <c r="L594" s="1539"/>
      <c r="M594" s="1539"/>
      <c r="N594" s="1539"/>
      <c r="O594" s="1539"/>
      <c r="P594" s="1539"/>
      <c r="Q594" s="1539"/>
      <c r="R594" s="1539"/>
      <c r="T594" s="22"/>
      <c r="U594" t="s">
        <v>85</v>
      </c>
      <c r="Z594" s="1539" t="s">
        <v>2779</v>
      </c>
      <c r="AA594" s="1539"/>
      <c r="AB594" s="1539"/>
      <c r="AC594" s="1539"/>
      <c r="AD594" s="1539"/>
      <c r="AE594" s="1539"/>
      <c r="AF594" s="1539"/>
      <c r="AG594" s="1539"/>
      <c r="AH594" s="1539"/>
      <c r="AI594" s="1539"/>
      <c r="AJ594" s="1539"/>
      <c r="AK594" s="1539"/>
      <c r="BB594" s="3"/>
      <c r="BC594" s="3"/>
    </row>
    <row r="595" spans="1:55" ht="12.9" customHeight="1">
      <c r="A595" s="22"/>
      <c r="B595" t="s">
        <v>578</v>
      </c>
      <c r="G595" s="1539" t="s">
        <v>2776</v>
      </c>
      <c r="H595" s="1539"/>
      <c r="I595" s="1539"/>
      <c r="J595" s="1539"/>
      <c r="K595" s="1539"/>
      <c r="L595" s="1539"/>
      <c r="M595" s="1539"/>
      <c r="N595" s="1539"/>
      <c r="O595" s="1539"/>
      <c r="P595" s="1539"/>
      <c r="Q595" s="1539"/>
      <c r="R595" s="1539"/>
      <c r="T595" s="22"/>
      <c r="U595" t="s">
        <v>578</v>
      </c>
      <c r="Z595" s="1467" t="s">
        <v>2780</v>
      </c>
      <c r="AA595" s="1516"/>
      <c r="AB595" s="1516"/>
      <c r="AC595" s="1516"/>
      <c r="AD595" s="1516"/>
      <c r="AE595" s="1516"/>
      <c r="AF595" s="1516"/>
      <c r="AG595" s="1516"/>
      <c r="AH595" s="1516"/>
      <c r="AI595" s="1516"/>
      <c r="AJ595" s="1516"/>
      <c r="AK595" s="1516"/>
      <c r="BB595" s="3"/>
      <c r="BC595" s="3"/>
    </row>
    <row r="596" spans="1:55" ht="12.9" customHeight="1">
      <c r="A596" s="22"/>
      <c r="B596" t="s">
        <v>17</v>
      </c>
      <c r="G596" s="1539" t="s">
        <v>2777</v>
      </c>
      <c r="H596" s="1539"/>
      <c r="I596" s="1539"/>
      <c r="J596" s="1539"/>
      <c r="K596" s="1539"/>
      <c r="L596" s="1539"/>
      <c r="M596" s="1539"/>
      <c r="N596" s="1539"/>
      <c r="O596" s="1539"/>
      <c r="P596" s="1539"/>
      <c r="Q596" s="1539"/>
      <c r="R596" s="1539"/>
      <c r="T596" s="22"/>
      <c r="U596" t="s">
        <v>17</v>
      </c>
      <c r="Z596" s="1467" t="s">
        <v>2679</v>
      </c>
      <c r="AA596" s="1516"/>
      <c r="AB596" s="1516"/>
      <c r="AC596" s="1516"/>
      <c r="AD596" s="1516"/>
      <c r="AE596" s="1516"/>
      <c r="AF596" s="1516"/>
      <c r="AG596" s="1516"/>
      <c r="AH596" s="1516"/>
      <c r="AI596" s="1516"/>
      <c r="AJ596" s="1516"/>
      <c r="AK596" s="1516"/>
    </row>
    <row r="597" spans="1:55" ht="12.9" customHeight="1">
      <c r="A597" s="22"/>
      <c r="B597" t="s">
        <v>316</v>
      </c>
      <c r="G597" s="1553" t="s">
        <v>2778</v>
      </c>
      <c r="H597" s="1517"/>
      <c r="I597" s="1517"/>
      <c r="J597" s="1517"/>
      <c r="K597" s="1517"/>
      <c r="L597" s="1517"/>
      <c r="O597" s="33" t="s">
        <v>206</v>
      </c>
      <c r="P597" s="1543"/>
      <c r="Q597" s="1543"/>
      <c r="R597" s="1543"/>
      <c r="T597" s="22"/>
      <c r="U597" t="s">
        <v>316</v>
      </c>
      <c r="Z597" s="1553" t="s">
        <v>2680</v>
      </c>
      <c r="AA597" s="1517"/>
      <c r="AB597" s="1517"/>
      <c r="AC597" s="1517"/>
      <c r="AD597" s="1517"/>
      <c r="AE597" s="1517"/>
      <c r="AH597" s="33" t="s">
        <v>206</v>
      </c>
      <c r="AI597" s="1543"/>
      <c r="AJ597" s="1543"/>
      <c r="AK597" s="1543"/>
      <c r="AZ597" s="3"/>
      <c r="BA597" s="3"/>
      <c r="BB597" s="3"/>
      <c r="BC597" s="3"/>
    </row>
    <row r="598" spans="1:55" ht="12.9" customHeight="1">
      <c r="A598" s="22"/>
      <c r="B598" t="s">
        <v>18</v>
      </c>
      <c r="H598" s="1539" t="s">
        <v>2070</v>
      </c>
      <c r="I598" s="1539"/>
      <c r="J598" s="1539"/>
      <c r="K598" s="1539"/>
      <c r="L598" s="1539"/>
      <c r="M598" s="1539"/>
      <c r="N598" s="1539"/>
      <c r="O598" s="1539"/>
      <c r="P598" s="1539"/>
      <c r="Q598" s="1539"/>
      <c r="R598" s="1539"/>
      <c r="T598" s="22"/>
      <c r="U598" t="s">
        <v>18</v>
      </c>
      <c r="AA598" s="1557" t="s">
        <v>2837</v>
      </c>
      <c r="AB598" s="1539"/>
      <c r="AC598" s="1539"/>
      <c r="AD598" s="1539"/>
      <c r="AE598" s="1539"/>
      <c r="AF598" s="1539"/>
      <c r="AG598" s="1539"/>
      <c r="AH598" s="1539"/>
      <c r="AI598" s="1539"/>
      <c r="AJ598" s="1539"/>
      <c r="AK598" s="1539"/>
      <c r="AZ598" s="3"/>
      <c r="BA598" s="3"/>
      <c r="BB598" s="3"/>
      <c r="BC598" s="3"/>
    </row>
    <row r="599" spans="1:55" ht="12.9" customHeight="1">
      <c r="A599" s="22"/>
      <c r="B599" t="s">
        <v>20</v>
      </c>
      <c r="N599" s="1424" t="s">
        <v>543</v>
      </c>
      <c r="O599" s="1424"/>
      <c r="T599" s="22"/>
      <c r="U599" t="s">
        <v>20</v>
      </c>
      <c r="AG599" s="1424" t="s">
        <v>543</v>
      </c>
      <c r="AH599" s="1424"/>
      <c r="AZ599" s="3"/>
      <c r="BA599" s="3"/>
      <c r="BB599" s="3"/>
      <c r="BC599" s="3"/>
    </row>
    <row r="600" spans="1:55" ht="12.9" customHeight="1">
      <c r="A600" s="22"/>
      <c r="T600" s="22"/>
      <c r="AZ600" s="3"/>
      <c r="BA600" s="3"/>
      <c r="BB600" s="3"/>
      <c r="BC600" s="3"/>
    </row>
    <row r="601" spans="1:55" ht="12.9" customHeight="1">
      <c r="A601" s="55" t="s">
        <v>453</v>
      </c>
      <c r="B601" t="s">
        <v>461</v>
      </c>
      <c r="G601" s="1512" t="str">
        <f>C568</f>
        <v>Deferred Costs</v>
      </c>
      <c r="H601" s="1512"/>
      <c r="I601" s="1512"/>
      <c r="J601" s="1512"/>
      <c r="K601" s="1512"/>
      <c r="L601" s="1512"/>
      <c r="M601" s="1512"/>
      <c r="N601" s="1512"/>
      <c r="O601" s="1512"/>
      <c r="P601" s="1512"/>
      <c r="Q601" s="1512"/>
      <c r="R601" s="1512"/>
      <c r="T601" s="55" t="s">
        <v>454</v>
      </c>
      <c r="U601" t="s">
        <v>461</v>
      </c>
      <c r="Z601" s="1512">
        <f>C569</f>
        <v>0</v>
      </c>
      <c r="AA601" s="1512"/>
      <c r="AB601" s="1512"/>
      <c r="AC601" s="1512"/>
      <c r="AD601" s="1512"/>
      <c r="AE601" s="1512"/>
      <c r="AF601" s="1512"/>
      <c r="AG601" s="1512"/>
      <c r="AH601" s="1512"/>
      <c r="AI601" s="1512"/>
      <c r="AJ601" s="1512"/>
      <c r="AK601" s="1512"/>
      <c r="AZ601" s="3"/>
      <c r="BA601" s="3"/>
      <c r="BB601" s="3"/>
      <c r="BC601" s="3"/>
    </row>
    <row r="602" spans="1:55" s="4" customFormat="1" ht="12.9" customHeight="1">
      <c r="A602" s="22"/>
      <c r="B602" t="s">
        <v>85</v>
      </c>
      <c r="C602"/>
      <c r="D602"/>
      <c r="E602"/>
      <c r="F602"/>
      <c r="G602" s="1539" t="str">
        <f>+Z668</f>
        <v>4429 Morena Blvd Suite A</v>
      </c>
      <c r="H602" s="1539"/>
      <c r="I602" s="1539"/>
      <c r="J602" s="1539"/>
      <c r="K602" s="1539"/>
      <c r="L602" s="1539"/>
      <c r="M602" s="1539"/>
      <c r="N602" s="1539"/>
      <c r="O602" s="1539"/>
      <c r="P602" s="1539"/>
      <c r="Q602" s="1539"/>
      <c r="R602" s="1539"/>
      <c r="S602"/>
      <c r="T602" s="22"/>
      <c r="U602" t="s">
        <v>85</v>
      </c>
      <c r="V602"/>
      <c r="W602"/>
      <c r="X602"/>
      <c r="Y602"/>
      <c r="Z602" s="1539"/>
      <c r="AA602" s="1539"/>
      <c r="AB602" s="1539"/>
      <c r="AC602" s="1539"/>
      <c r="AD602" s="1539"/>
      <c r="AE602" s="1539"/>
      <c r="AF602" s="1539"/>
      <c r="AG602" s="1539"/>
      <c r="AH602" s="1539"/>
      <c r="AI602" s="1539"/>
      <c r="AJ602" s="1539"/>
      <c r="AK602" s="1539"/>
      <c r="AL602"/>
      <c r="AM602"/>
      <c r="AN602"/>
      <c r="AO602"/>
      <c r="AP602"/>
      <c r="AQ602"/>
      <c r="AR602"/>
      <c r="AS602"/>
      <c r="AT602"/>
      <c r="AU602"/>
      <c r="AV602"/>
      <c r="AW602"/>
      <c r="AX602"/>
      <c r="AY602"/>
      <c r="AZ602" s="3"/>
      <c r="BA602" s="3"/>
      <c r="BB602" s="3"/>
      <c r="BC602" s="3"/>
    </row>
    <row r="603" spans="1:55" s="4" customFormat="1" ht="12.9" customHeight="1">
      <c r="A603" s="22"/>
      <c r="B603" t="s">
        <v>578</v>
      </c>
      <c r="C603"/>
      <c r="D603"/>
      <c r="E603"/>
      <c r="F603"/>
      <c r="G603" s="1539" t="str">
        <f>+Z669</f>
        <v>San Diego, CA 92117</v>
      </c>
      <c r="H603" s="1539"/>
      <c r="I603" s="1539"/>
      <c r="J603" s="1539"/>
      <c r="K603" s="1539"/>
      <c r="L603" s="1539"/>
      <c r="M603" s="1539"/>
      <c r="N603" s="1539"/>
      <c r="O603" s="1539"/>
      <c r="P603" s="1539"/>
      <c r="Q603" s="1539"/>
      <c r="R603" s="1539"/>
      <c r="S603"/>
      <c r="T603" s="22"/>
      <c r="U603" t="s">
        <v>578</v>
      </c>
      <c r="V603"/>
      <c r="W603"/>
      <c r="X603"/>
      <c r="Y603"/>
      <c r="Z603" s="1516"/>
      <c r="AA603" s="1516"/>
      <c r="AB603" s="1516"/>
      <c r="AC603" s="1516"/>
      <c r="AD603" s="1516"/>
      <c r="AE603" s="1516"/>
      <c r="AF603" s="1516"/>
      <c r="AG603" s="1516"/>
      <c r="AH603" s="1516"/>
      <c r="AI603" s="1516"/>
      <c r="AJ603" s="1516"/>
      <c r="AK603" s="1516"/>
      <c r="AL603"/>
      <c r="AM603"/>
      <c r="AN603"/>
      <c r="AO603"/>
      <c r="AP603"/>
      <c r="AQ603"/>
      <c r="AR603"/>
      <c r="AS603"/>
      <c r="AT603"/>
      <c r="AU603"/>
      <c r="AV603"/>
      <c r="AW603"/>
      <c r="AX603"/>
      <c r="AY603"/>
      <c r="AZ603" s="3"/>
      <c r="BA603" s="3"/>
      <c r="BB603" s="3"/>
      <c r="BC603" s="3"/>
    </row>
    <row r="604" spans="1:55" s="4" customFormat="1" ht="12.9" customHeight="1">
      <c r="A604" s="22"/>
      <c r="B604" t="s">
        <v>17</v>
      </c>
      <c r="C604"/>
      <c r="D604"/>
      <c r="E604"/>
      <c r="F604"/>
      <c r="G604" s="1539" t="str">
        <f>+Z670</f>
        <v>Paul Salib</v>
      </c>
      <c r="H604" s="1539"/>
      <c r="I604" s="1539"/>
      <c r="J604" s="1539"/>
      <c r="K604" s="1539"/>
      <c r="L604" s="1539"/>
      <c r="M604" s="1539"/>
      <c r="N604" s="1539"/>
      <c r="O604" s="1539"/>
      <c r="P604" s="1539"/>
      <c r="Q604" s="1539"/>
      <c r="R604" s="1539"/>
      <c r="S604"/>
      <c r="T604" s="22"/>
      <c r="U604" t="s">
        <v>17</v>
      </c>
      <c r="V604"/>
      <c r="W604"/>
      <c r="X604"/>
      <c r="Y604"/>
      <c r="Z604" s="1516"/>
      <c r="AA604" s="1516"/>
      <c r="AB604" s="1516"/>
      <c r="AC604" s="1516"/>
      <c r="AD604" s="1516"/>
      <c r="AE604" s="1516"/>
      <c r="AF604" s="1516"/>
      <c r="AG604" s="1516"/>
      <c r="AH604" s="1516"/>
      <c r="AI604" s="1516"/>
      <c r="AJ604" s="1516"/>
      <c r="AK604" s="1516"/>
      <c r="AL604"/>
      <c r="AM604"/>
      <c r="AN604"/>
      <c r="AO604"/>
      <c r="AP604"/>
      <c r="AQ604"/>
      <c r="AR604"/>
      <c r="AS604"/>
      <c r="AT604"/>
      <c r="AU604"/>
      <c r="AV604"/>
      <c r="AW604"/>
      <c r="AX604"/>
      <c r="AY604"/>
      <c r="BB604" s="3"/>
      <c r="BC604" s="3"/>
    </row>
    <row r="605" spans="1:55" s="4" customFormat="1" ht="12.9" customHeight="1">
      <c r="A605" s="22"/>
      <c r="B605" t="s">
        <v>316</v>
      </c>
      <c r="C605"/>
      <c r="D605"/>
      <c r="E605"/>
      <c r="F605"/>
      <c r="G605" s="1517" t="s">
        <v>2680</v>
      </c>
      <c r="H605" s="1517"/>
      <c r="I605" s="1517"/>
      <c r="J605" s="1517"/>
      <c r="K605" s="1517"/>
      <c r="L605" s="1517"/>
      <c r="M605"/>
      <c r="N605"/>
      <c r="O605" s="33" t="s">
        <v>206</v>
      </c>
      <c r="P605" s="1543"/>
      <c r="Q605" s="1543"/>
      <c r="R605" s="1543"/>
      <c r="S605"/>
      <c r="T605" s="22"/>
      <c r="U605" t="s">
        <v>316</v>
      </c>
      <c r="V605"/>
      <c r="W605"/>
      <c r="X605"/>
      <c r="Y605"/>
      <c r="Z605" s="1517"/>
      <c r="AA605" s="1517"/>
      <c r="AB605" s="1517"/>
      <c r="AC605" s="1517"/>
      <c r="AD605" s="1517"/>
      <c r="AE605" s="1517"/>
      <c r="AF605"/>
      <c r="AG605"/>
      <c r="AH605" s="33" t="s">
        <v>206</v>
      </c>
      <c r="AI605" s="1543"/>
      <c r="AJ605" s="1543"/>
      <c r="AK605" s="1543"/>
      <c r="AL605"/>
      <c r="AM605"/>
      <c r="AN605"/>
      <c r="AO605"/>
      <c r="AP605"/>
      <c r="AQ605"/>
      <c r="AR605"/>
      <c r="AS605"/>
      <c r="AT605"/>
      <c r="AU605"/>
      <c r="AV605"/>
      <c r="AW605"/>
      <c r="AX605"/>
      <c r="AY605"/>
      <c r="BB605" s="3"/>
      <c r="BC605" s="3"/>
    </row>
    <row r="606" spans="1:55" s="4" customFormat="1" ht="12.9" customHeight="1">
      <c r="A606" s="22"/>
      <c r="B606" t="s">
        <v>18</v>
      </c>
      <c r="C606"/>
      <c r="D606"/>
      <c r="E606"/>
      <c r="F606"/>
      <c r="G606"/>
      <c r="H606" s="1557" t="s">
        <v>2774</v>
      </c>
      <c r="I606" s="1539"/>
      <c r="J606" s="1539"/>
      <c r="K606" s="1539"/>
      <c r="L606" s="1539"/>
      <c r="M606" s="1539"/>
      <c r="N606" s="1539"/>
      <c r="O606" s="1539"/>
      <c r="P606" s="1539"/>
      <c r="Q606" s="1539"/>
      <c r="R606" s="1539"/>
      <c r="S606"/>
      <c r="T606" s="22"/>
      <c r="U606" t="s">
        <v>18</v>
      </c>
      <c r="V606"/>
      <c r="W606"/>
      <c r="X606"/>
      <c r="Y606"/>
      <c r="Z606"/>
      <c r="AA606" s="1539"/>
      <c r="AB606" s="1539"/>
      <c r="AC606" s="1539"/>
      <c r="AD606" s="1539"/>
      <c r="AE606" s="1539"/>
      <c r="AF606" s="1539"/>
      <c r="AG606" s="1539"/>
      <c r="AH606" s="1539"/>
      <c r="AI606" s="1539"/>
      <c r="AJ606" s="1539"/>
      <c r="AK606" s="1539"/>
      <c r="AL606"/>
      <c r="AM606"/>
      <c r="AN606"/>
      <c r="AO606"/>
      <c r="AP606"/>
      <c r="AQ606"/>
      <c r="AR606"/>
      <c r="AS606"/>
      <c r="AT606"/>
      <c r="AU606"/>
      <c r="AV606"/>
      <c r="AW606"/>
      <c r="AX606"/>
      <c r="AY606"/>
      <c r="BB606" s="3"/>
      <c r="BC606" s="3"/>
    </row>
    <row r="607" spans="1:55" ht="12.9" customHeight="1">
      <c r="A607" s="22"/>
      <c r="B607" t="s">
        <v>20</v>
      </c>
      <c r="N607" s="1424" t="s">
        <v>543</v>
      </c>
      <c r="O607" s="1424"/>
      <c r="T607" s="22"/>
      <c r="U607" t="s">
        <v>20</v>
      </c>
      <c r="AG607" s="1424"/>
      <c r="AH607" s="1424"/>
      <c r="BB607" s="3"/>
      <c r="BC607" s="3"/>
    </row>
    <row r="608" spans="1:55" ht="12.9" customHeight="1">
      <c r="A608" s="22"/>
      <c r="T608" s="22"/>
      <c r="BB608" s="3"/>
      <c r="BC608" s="3"/>
    </row>
    <row r="609" spans="1:55" ht="12.9" customHeight="1">
      <c r="A609" s="55" t="s">
        <v>459</v>
      </c>
      <c r="B609" t="s">
        <v>461</v>
      </c>
      <c r="G609" s="1512">
        <f>C570</f>
        <v>0</v>
      </c>
      <c r="H609" s="1512"/>
      <c r="I609" s="1512"/>
      <c r="J609" s="1512"/>
      <c r="K609" s="1512"/>
      <c r="L609" s="1512"/>
      <c r="M609" s="1512"/>
      <c r="N609" s="1512"/>
      <c r="O609" s="1512"/>
      <c r="P609" s="1512"/>
      <c r="Q609" s="1512"/>
      <c r="R609" s="1512"/>
      <c r="T609" s="55" t="s">
        <v>644</v>
      </c>
      <c r="U609" t="s">
        <v>461</v>
      </c>
      <c r="Z609" s="1512">
        <f>C571</f>
        <v>0</v>
      </c>
      <c r="AA609" s="1512"/>
      <c r="AB609" s="1512"/>
      <c r="AC609" s="1512"/>
      <c r="AD609" s="1512"/>
      <c r="AE609" s="1512"/>
      <c r="AF609" s="1512"/>
      <c r="AG609" s="1512"/>
      <c r="AH609" s="1512"/>
      <c r="AI609" s="1512"/>
      <c r="AJ609" s="1512"/>
      <c r="AK609" s="1512"/>
      <c r="BB609" s="3"/>
      <c r="BC609" s="3"/>
    </row>
    <row r="610" spans="1:55" ht="12.9" customHeight="1">
      <c r="A610" s="22"/>
      <c r="B610" t="s">
        <v>85</v>
      </c>
      <c r="G610" s="1516"/>
      <c r="H610" s="1516"/>
      <c r="I610" s="1516"/>
      <c r="J610" s="1516"/>
      <c r="K610" s="1516"/>
      <c r="L610" s="1516"/>
      <c r="M610" s="1516"/>
      <c r="N610" s="1516"/>
      <c r="O610" s="1516"/>
      <c r="P610" s="1516"/>
      <c r="Q610" s="1516"/>
      <c r="R610" s="1516"/>
      <c r="T610" s="22"/>
      <c r="U610" t="s">
        <v>85</v>
      </c>
      <c r="Z610" s="1539"/>
      <c r="AA610" s="1539"/>
      <c r="AB610" s="1539"/>
      <c r="AC610" s="1539"/>
      <c r="AD610" s="1539"/>
      <c r="AE610" s="1539"/>
      <c r="AF610" s="1539"/>
      <c r="AG610" s="1539"/>
      <c r="AH610" s="1539"/>
      <c r="AI610" s="1539"/>
      <c r="AJ610" s="1539"/>
      <c r="AK610" s="1539"/>
      <c r="AZ610" s="3"/>
      <c r="BA610" s="3"/>
      <c r="BB610" s="3"/>
      <c r="BC610" s="3"/>
    </row>
    <row r="611" spans="1:55" ht="12.9" customHeight="1">
      <c r="A611" s="22"/>
      <c r="B611" t="s">
        <v>578</v>
      </c>
      <c r="G611" s="1516"/>
      <c r="H611" s="1516"/>
      <c r="I611" s="1516"/>
      <c r="J611" s="1516"/>
      <c r="K611" s="1516"/>
      <c r="L611" s="1516"/>
      <c r="M611" s="1516"/>
      <c r="N611" s="1516"/>
      <c r="O611" s="1516"/>
      <c r="P611" s="1516"/>
      <c r="Q611" s="1516"/>
      <c r="R611" s="1516"/>
      <c r="T611" s="22"/>
      <c r="U611" t="s">
        <v>578</v>
      </c>
      <c r="Z611" s="1516"/>
      <c r="AA611" s="1516"/>
      <c r="AB611" s="1516"/>
      <c r="AC611" s="1516"/>
      <c r="AD611" s="1516"/>
      <c r="AE611" s="1516"/>
      <c r="AF611" s="1516"/>
      <c r="AG611" s="1516"/>
      <c r="AH611" s="1516"/>
      <c r="AI611" s="1516"/>
      <c r="AJ611" s="1516"/>
      <c r="AK611" s="1516"/>
      <c r="AZ611" s="3"/>
      <c r="BA611" s="3"/>
      <c r="BB611" s="3"/>
      <c r="BC611" s="3"/>
    </row>
    <row r="612" spans="1:55" ht="12.9" customHeight="1">
      <c r="A612" s="22"/>
      <c r="B612" t="s">
        <v>17</v>
      </c>
      <c r="G612" s="1516"/>
      <c r="H612" s="1516"/>
      <c r="I612" s="1516"/>
      <c r="J612" s="1516"/>
      <c r="K612" s="1516"/>
      <c r="L612" s="1516"/>
      <c r="M612" s="1516"/>
      <c r="N612" s="1516"/>
      <c r="O612" s="1516"/>
      <c r="P612" s="1516"/>
      <c r="Q612" s="1516"/>
      <c r="R612" s="1516"/>
      <c r="T612" s="22"/>
      <c r="U612" t="s">
        <v>17</v>
      </c>
      <c r="Z612" s="1516"/>
      <c r="AA612" s="1516"/>
      <c r="AB612" s="1516"/>
      <c r="AC612" s="1516"/>
      <c r="AD612" s="1516"/>
      <c r="AE612" s="1516"/>
      <c r="AF612" s="1516"/>
      <c r="AG612" s="1516"/>
      <c r="AH612" s="1516"/>
      <c r="AI612" s="1516"/>
      <c r="AJ612" s="1516"/>
      <c r="AK612" s="1516"/>
      <c r="AZ612" s="3"/>
      <c r="BA612" s="3"/>
      <c r="BB612" s="3"/>
      <c r="BC612" s="3"/>
    </row>
    <row r="613" spans="1:55" s="4" customFormat="1" ht="12.9" customHeight="1">
      <c r="A613" s="22"/>
      <c r="B613" t="s">
        <v>316</v>
      </c>
      <c r="C613"/>
      <c r="D613"/>
      <c r="E613"/>
      <c r="F613"/>
      <c r="G613" s="1517"/>
      <c r="H613" s="1517"/>
      <c r="I613" s="1517"/>
      <c r="J613" s="1517"/>
      <c r="K613" s="1517"/>
      <c r="L613" s="1517"/>
      <c r="M613"/>
      <c r="N613"/>
      <c r="O613" s="33" t="s">
        <v>206</v>
      </c>
      <c r="P613" s="1543"/>
      <c r="Q613" s="1543"/>
      <c r="R613" s="1543"/>
      <c r="S613"/>
      <c r="T613" s="22"/>
      <c r="U613" t="s">
        <v>316</v>
      </c>
      <c r="V613"/>
      <c r="W613"/>
      <c r="X613"/>
      <c r="Y613"/>
      <c r="Z613" s="1517"/>
      <c r="AA613" s="1517"/>
      <c r="AB613" s="1517"/>
      <c r="AC613" s="1517"/>
      <c r="AD613" s="1517"/>
      <c r="AE613" s="1517"/>
      <c r="AF613"/>
      <c r="AG613"/>
      <c r="AH613" s="33" t="s">
        <v>206</v>
      </c>
      <c r="AI613" s="1543"/>
      <c r="AJ613" s="1543"/>
      <c r="AK613" s="1543"/>
      <c r="AL613"/>
      <c r="AM613"/>
      <c r="AN613"/>
      <c r="AO613"/>
      <c r="AP613"/>
      <c r="AQ613"/>
      <c r="AR613"/>
      <c r="AS613"/>
      <c r="AT613"/>
      <c r="AU613"/>
      <c r="AV613"/>
      <c r="AW613"/>
      <c r="AX613"/>
      <c r="AY613"/>
      <c r="AZ613" s="3"/>
      <c r="BA613" s="3"/>
      <c r="BB613" s="3"/>
      <c r="BC613" s="3"/>
    </row>
    <row r="614" spans="1:55" s="4" customFormat="1" ht="12.9" customHeight="1">
      <c r="A614" s="22"/>
      <c r="B614" t="s">
        <v>18</v>
      </c>
      <c r="C614"/>
      <c r="D614"/>
      <c r="E614"/>
      <c r="F614"/>
      <c r="G614"/>
      <c r="H614" s="1539"/>
      <c r="I614" s="1539"/>
      <c r="J614" s="1539"/>
      <c r="K614" s="1539"/>
      <c r="L614" s="1539"/>
      <c r="M614" s="1539"/>
      <c r="N614" s="1539"/>
      <c r="O614" s="1539"/>
      <c r="P614" s="1539"/>
      <c r="Q614" s="1539"/>
      <c r="R614" s="1539"/>
      <c r="S614"/>
      <c r="T614" s="22"/>
      <c r="U614" t="s">
        <v>18</v>
      </c>
      <c r="V614"/>
      <c r="W614"/>
      <c r="X614"/>
      <c r="Y614"/>
      <c r="Z614"/>
      <c r="AA614" s="1539"/>
      <c r="AB614" s="1539"/>
      <c r="AC614" s="1539"/>
      <c r="AD614" s="1539"/>
      <c r="AE614" s="1539"/>
      <c r="AF614" s="1539"/>
      <c r="AG614" s="1539"/>
      <c r="AH614" s="1539"/>
      <c r="AI614" s="1539"/>
      <c r="AJ614" s="1539"/>
      <c r="AK614" s="1539"/>
      <c r="AL614"/>
      <c r="AM614"/>
      <c r="AN614"/>
      <c r="AO614"/>
      <c r="AP614"/>
      <c r="AQ614"/>
      <c r="AR614"/>
      <c r="AS614"/>
      <c r="AT614"/>
      <c r="AU614"/>
      <c r="AV614"/>
      <c r="AW614"/>
      <c r="AX614"/>
      <c r="AY614"/>
      <c r="AZ614" s="3"/>
      <c r="BA614" s="3"/>
      <c r="BB614" s="3"/>
      <c r="BC614" s="3"/>
    </row>
    <row r="615" spans="1:55" s="4" customFormat="1" ht="12.9" customHeight="1">
      <c r="A615" s="22"/>
      <c r="B615" t="s">
        <v>20</v>
      </c>
      <c r="C615"/>
      <c r="D615"/>
      <c r="E615"/>
      <c r="F615"/>
      <c r="G615"/>
      <c r="H615"/>
      <c r="I615"/>
      <c r="J615"/>
      <c r="K615"/>
      <c r="L615"/>
      <c r="M615"/>
      <c r="N615" s="1424" t="s">
        <v>543</v>
      </c>
      <c r="O615" s="1424"/>
      <c r="P615"/>
      <c r="Q615"/>
      <c r="R615"/>
      <c r="S615"/>
      <c r="T615" s="22"/>
      <c r="U615" t="s">
        <v>20</v>
      </c>
      <c r="V615"/>
      <c r="W615"/>
      <c r="X615"/>
      <c r="Y615"/>
      <c r="Z615"/>
      <c r="AA615"/>
      <c r="AB615"/>
      <c r="AC615"/>
      <c r="AD615"/>
      <c r="AE615"/>
      <c r="AF615"/>
      <c r="AG615" s="1424" t="s">
        <v>667</v>
      </c>
      <c r="AH615" s="1424"/>
      <c r="AI615"/>
      <c r="AJ615"/>
      <c r="AK615"/>
      <c r="AL615"/>
      <c r="AM615"/>
      <c r="AN615"/>
      <c r="AO615"/>
      <c r="AP615"/>
      <c r="AQ615"/>
      <c r="AR615"/>
      <c r="AS615"/>
      <c r="AT615"/>
      <c r="AU615"/>
      <c r="AV615"/>
      <c r="AW615"/>
      <c r="AX615"/>
      <c r="AY615"/>
      <c r="AZ615" s="3"/>
      <c r="BA615" s="3"/>
      <c r="BB615" s="3"/>
      <c r="BC615" s="3"/>
    </row>
    <row r="616" spans="1:55" ht="12.9" customHeight="1">
      <c r="A616" s="22"/>
      <c r="T616" s="22"/>
      <c r="AZ616" s="3"/>
      <c r="BA616" s="3"/>
      <c r="BB616" s="3"/>
      <c r="BC616" s="3"/>
    </row>
    <row r="617" spans="1:55" ht="12.9" customHeight="1">
      <c r="A617" s="55" t="s">
        <v>362</v>
      </c>
      <c r="B617" t="s">
        <v>461</v>
      </c>
      <c r="G617" s="1512">
        <f>C572</f>
        <v>0</v>
      </c>
      <c r="H617" s="1512"/>
      <c r="I617" s="1512"/>
      <c r="J617" s="1512"/>
      <c r="K617" s="1512"/>
      <c r="L617" s="1512"/>
      <c r="M617" s="1512"/>
      <c r="N617" s="1512"/>
      <c r="O617" s="1512"/>
      <c r="P617" s="1512"/>
      <c r="Q617" s="1512"/>
      <c r="R617" s="1512"/>
      <c r="T617" s="55" t="s">
        <v>363</v>
      </c>
      <c r="U617" t="s">
        <v>461</v>
      </c>
      <c r="Z617" s="1512">
        <f>C573</f>
        <v>0</v>
      </c>
      <c r="AA617" s="1512"/>
      <c r="AB617" s="1512"/>
      <c r="AC617" s="1512"/>
      <c r="AD617" s="1512"/>
      <c r="AE617" s="1512"/>
      <c r="AF617" s="1512"/>
      <c r="AG617" s="1512"/>
      <c r="AH617" s="1512"/>
      <c r="AI617" s="1512"/>
      <c r="AJ617" s="1512"/>
      <c r="AK617" s="1512"/>
      <c r="AZ617" s="3"/>
      <c r="BA617" s="3"/>
      <c r="BB617" s="3"/>
      <c r="BC617" s="3"/>
    </row>
    <row r="618" spans="1:55" ht="12.9" customHeight="1">
      <c r="B618" t="s">
        <v>85</v>
      </c>
      <c r="G618" s="1539"/>
      <c r="H618" s="1539"/>
      <c r="I618" s="1539"/>
      <c r="J618" s="1539"/>
      <c r="K618" s="1539"/>
      <c r="L618" s="1539"/>
      <c r="M618" s="1539"/>
      <c r="N618" s="1539"/>
      <c r="O618" s="1539"/>
      <c r="P618" s="1539"/>
      <c r="Q618" s="1539"/>
      <c r="R618" s="1539"/>
      <c r="U618" t="s">
        <v>85</v>
      </c>
      <c r="Z618" s="1539"/>
      <c r="AA618" s="1539"/>
      <c r="AB618" s="1539"/>
      <c r="AC618" s="1539"/>
      <c r="AD618" s="1539"/>
      <c r="AE618" s="1539"/>
      <c r="AF618" s="1539"/>
      <c r="AG618" s="1539"/>
      <c r="AH618" s="1539"/>
      <c r="AI618" s="1539"/>
      <c r="AJ618" s="1539"/>
      <c r="AK618" s="1539"/>
      <c r="AZ618" s="3"/>
      <c r="BA618" s="3"/>
      <c r="BB618" s="3"/>
      <c r="BC618" s="3"/>
    </row>
    <row r="619" spans="1:55" ht="12.9" customHeight="1">
      <c r="B619" t="s">
        <v>578</v>
      </c>
      <c r="G619" s="1539"/>
      <c r="H619" s="1539"/>
      <c r="I619" s="1539"/>
      <c r="J619" s="1539"/>
      <c r="K619" s="1539"/>
      <c r="L619" s="1539"/>
      <c r="M619" s="1539"/>
      <c r="N619" s="1539"/>
      <c r="O619" s="1539"/>
      <c r="P619" s="1539"/>
      <c r="Q619" s="1539"/>
      <c r="R619" s="1539"/>
      <c r="U619" t="s">
        <v>578</v>
      </c>
      <c r="Z619" s="1516"/>
      <c r="AA619" s="1516"/>
      <c r="AB619" s="1516"/>
      <c r="AC619" s="1516"/>
      <c r="AD619" s="1516"/>
      <c r="AE619" s="1516"/>
      <c r="AF619" s="1516"/>
      <c r="AG619" s="1516"/>
      <c r="AH619" s="1516"/>
      <c r="AI619" s="1516"/>
      <c r="AJ619" s="1516"/>
      <c r="AK619" s="1516"/>
      <c r="AZ619" s="3"/>
      <c r="BA619" s="3"/>
      <c r="BB619" s="3"/>
      <c r="BC619" s="3"/>
    </row>
    <row r="620" spans="1:55" ht="12.9" customHeight="1">
      <c r="B620" t="s">
        <v>17</v>
      </c>
      <c r="G620" s="1539"/>
      <c r="H620" s="1539"/>
      <c r="I620" s="1539"/>
      <c r="J620" s="1539"/>
      <c r="K620" s="1539"/>
      <c r="L620" s="1539"/>
      <c r="M620" s="1539"/>
      <c r="N620" s="1539"/>
      <c r="O620" s="1539"/>
      <c r="P620" s="1539"/>
      <c r="Q620" s="1539"/>
      <c r="R620" s="1539"/>
      <c r="U620" t="s">
        <v>17</v>
      </c>
      <c r="Z620" s="1516"/>
      <c r="AA620" s="1516"/>
      <c r="AB620" s="1516"/>
      <c r="AC620" s="1516"/>
      <c r="AD620" s="1516"/>
      <c r="AE620" s="1516"/>
      <c r="AF620" s="1516"/>
      <c r="AG620" s="1516"/>
      <c r="AH620" s="1516"/>
      <c r="AI620" s="1516"/>
      <c r="AJ620" s="1516"/>
      <c r="AK620" s="1516"/>
      <c r="AZ620" s="3"/>
      <c r="BA620" s="3"/>
      <c r="BB620" s="3"/>
      <c r="BC620" s="3"/>
    </row>
    <row r="621" spans="1:55" ht="12.9" customHeight="1">
      <c r="B621" t="s">
        <v>316</v>
      </c>
      <c r="G621" s="1517"/>
      <c r="H621" s="1517"/>
      <c r="I621" s="1517"/>
      <c r="J621" s="1517"/>
      <c r="K621" s="1517"/>
      <c r="L621" s="1517"/>
      <c r="O621" s="33" t="s">
        <v>206</v>
      </c>
      <c r="P621" s="1543"/>
      <c r="Q621" s="1543"/>
      <c r="R621" s="1543"/>
      <c r="U621" t="s">
        <v>316</v>
      </c>
      <c r="Z621" s="1517"/>
      <c r="AA621" s="1517"/>
      <c r="AB621" s="1517"/>
      <c r="AC621" s="1517"/>
      <c r="AD621" s="1517"/>
      <c r="AE621" s="1517"/>
      <c r="AH621" s="33" t="s">
        <v>206</v>
      </c>
      <c r="AI621" s="1543"/>
      <c r="AJ621" s="1543"/>
      <c r="AK621" s="1543"/>
      <c r="AZ621" s="3"/>
      <c r="BA621" s="3"/>
      <c r="BB621" s="3"/>
      <c r="BC621" s="3"/>
    </row>
    <row r="622" spans="1:55" ht="12.9" customHeight="1">
      <c r="B622" t="s">
        <v>18</v>
      </c>
      <c r="H622" s="1539"/>
      <c r="I622" s="1539"/>
      <c r="J622" s="1539"/>
      <c r="K622" s="1539"/>
      <c r="L622" s="1539"/>
      <c r="M622" s="1539"/>
      <c r="N622" s="1539"/>
      <c r="O622" s="1539"/>
      <c r="P622" s="1539"/>
      <c r="Q622" s="1539"/>
      <c r="R622" s="1539"/>
      <c r="U622" t="s">
        <v>18</v>
      </c>
      <c r="AA622" s="1539"/>
      <c r="AB622" s="1539"/>
      <c r="AC622" s="1539"/>
      <c r="AD622" s="1539"/>
      <c r="AE622" s="1539"/>
      <c r="AF622" s="1539"/>
      <c r="AG622" s="1539"/>
      <c r="AH622" s="1539"/>
      <c r="AI622" s="1539"/>
      <c r="AJ622" s="1539"/>
      <c r="AK622" s="1539"/>
      <c r="AU622" s="890"/>
      <c r="AV622" s="890"/>
      <c r="AW622" s="890"/>
      <c r="AX622" s="890"/>
      <c r="AY622" s="890"/>
      <c r="AZ622" s="3"/>
      <c r="BA622" s="3"/>
      <c r="BB622" s="3"/>
      <c r="BC622" s="3"/>
    </row>
    <row r="623" spans="1:55" ht="12.9" customHeight="1">
      <c r="B623" t="s">
        <v>20</v>
      </c>
      <c r="N623" s="1424" t="s">
        <v>667</v>
      </c>
      <c r="O623" s="1424"/>
      <c r="U623" t="s">
        <v>20</v>
      </c>
      <c r="AG623" s="1424" t="s">
        <v>667</v>
      </c>
      <c r="AH623" s="1424"/>
      <c r="AU623" s="890"/>
      <c r="AV623" s="890"/>
      <c r="AW623" s="890"/>
      <c r="AX623" s="890"/>
      <c r="AY623" s="890"/>
      <c r="AZ623" s="3"/>
      <c r="BA623" s="3"/>
      <c r="BB623" s="3"/>
      <c r="BC623" s="3"/>
    </row>
    <row r="624" spans="1:55" ht="12.9" customHeight="1">
      <c r="AZ624" s="3"/>
      <c r="BA624" s="3"/>
      <c r="BB624" s="3"/>
      <c r="BC624" s="3"/>
    </row>
    <row r="625" spans="1:56" ht="12.9" customHeight="1">
      <c r="A625" s="1352" t="s">
        <v>542</v>
      </c>
      <c r="B625" s="1352"/>
      <c r="C625" s="1352"/>
      <c r="D625" s="1352"/>
      <c r="E625" s="1352"/>
      <c r="F625" s="1352"/>
      <c r="G625" s="1352"/>
      <c r="H625" s="1352"/>
      <c r="I625" s="1352"/>
      <c r="J625" s="1352"/>
      <c r="K625" s="1352"/>
      <c r="L625" s="1352"/>
      <c r="M625" s="1352"/>
      <c r="N625" s="1352"/>
      <c r="O625" s="1352"/>
      <c r="P625" s="1352"/>
      <c r="Q625" s="1352"/>
      <c r="R625" s="1352"/>
      <c r="S625" s="1352"/>
      <c r="T625" s="1352"/>
      <c r="U625" s="1352"/>
      <c r="V625" s="1352"/>
      <c r="W625" s="1352"/>
      <c r="X625" s="1352"/>
      <c r="Y625" s="1352"/>
      <c r="Z625" s="1352"/>
      <c r="AA625" s="1352"/>
      <c r="AB625" s="1352"/>
      <c r="AC625" s="1352"/>
      <c r="AD625" s="1352"/>
      <c r="AE625" s="1352"/>
      <c r="AF625" s="1352"/>
      <c r="AG625" s="1352"/>
      <c r="AH625" s="1352"/>
      <c r="AI625" s="1352"/>
      <c r="AJ625" s="1352"/>
      <c r="AK625" s="1352"/>
      <c r="AL625" s="1352"/>
      <c r="AM625" s="1352"/>
      <c r="AN625" s="1352"/>
      <c r="AO625" s="1352"/>
      <c r="AP625" s="1352"/>
      <c r="AQ625" s="1352"/>
      <c r="AR625" s="1352"/>
      <c r="AS625" s="1352"/>
      <c r="AT625" s="1352"/>
      <c r="AZ625" s="3"/>
      <c r="BA625" s="3"/>
      <c r="BB625" s="3"/>
      <c r="BC625" s="3"/>
    </row>
    <row r="626" spans="1:56" ht="12.9" customHeight="1">
      <c r="A626" s="1352"/>
      <c r="B626" s="1352"/>
      <c r="C626" s="1352"/>
      <c r="D626" s="1352"/>
      <c r="E626" s="1352"/>
      <c r="F626" s="1352"/>
      <c r="G626" s="1352"/>
      <c r="H626" s="1352"/>
      <c r="I626" s="1352"/>
      <c r="J626" s="1352"/>
      <c r="K626" s="1352"/>
      <c r="L626" s="1352"/>
      <c r="M626" s="1352"/>
      <c r="N626" s="1352"/>
      <c r="O626" s="1352"/>
      <c r="P626" s="1352"/>
      <c r="Q626" s="1352"/>
      <c r="R626" s="1352"/>
      <c r="S626" s="1352"/>
      <c r="T626" s="1352"/>
      <c r="U626" s="1352"/>
      <c r="V626" s="1352"/>
      <c r="W626" s="1352"/>
      <c r="X626" s="1352"/>
      <c r="Y626" s="1352"/>
      <c r="Z626" s="1352"/>
      <c r="AA626" s="1352"/>
      <c r="AB626" s="1352"/>
      <c r="AC626" s="1352"/>
      <c r="AD626" s="1352"/>
      <c r="AE626" s="1352"/>
      <c r="AF626" s="1352"/>
      <c r="AG626" s="1352"/>
      <c r="AH626" s="1352"/>
      <c r="AI626" s="1352"/>
      <c r="AJ626" s="1352"/>
      <c r="AK626" s="1352"/>
      <c r="AL626" s="1352"/>
      <c r="AM626" s="1352"/>
      <c r="AN626" s="1352"/>
      <c r="AO626" s="1352"/>
      <c r="AP626" s="1352"/>
      <c r="AQ626" s="1352"/>
      <c r="AR626" s="1352"/>
      <c r="AS626" s="1352"/>
      <c r="AT626" s="1352"/>
      <c r="AZ626" s="3"/>
      <c r="BA626" s="3"/>
      <c r="BB626" s="3"/>
      <c r="BC626" s="3"/>
    </row>
    <row r="627" spans="1:56" ht="12.9" customHeight="1">
      <c r="AZ627" s="3"/>
      <c r="BA627" s="3"/>
      <c r="BB627" s="3"/>
      <c r="BC627" s="3"/>
    </row>
    <row r="628" spans="1:56" ht="12.9" customHeight="1">
      <c r="A628" s="2" t="s">
        <v>319</v>
      </c>
      <c r="B628" s="2"/>
      <c r="C628" s="2" t="s">
        <v>21</v>
      </c>
      <c r="AZ628" s="3"/>
      <c r="BA628" s="3"/>
      <c r="BB628" s="3"/>
      <c r="BC628" s="3"/>
    </row>
    <row r="629" spans="1:56" ht="12.9" customHeight="1">
      <c r="A629" s="2"/>
      <c r="B629" s="2"/>
      <c r="C629" s="2"/>
      <c r="AZ629" s="3"/>
      <c r="BA629" s="3"/>
      <c r="BB629" s="3"/>
      <c r="BC629" s="3"/>
    </row>
    <row r="630" spans="1:56" ht="12.9" customHeight="1">
      <c r="C630" s="2" t="s">
        <v>2048</v>
      </c>
      <c r="AZ630" s="3"/>
      <c r="BA630" s="3"/>
      <c r="BB630" s="3"/>
      <c r="BC630" s="3"/>
    </row>
    <row r="631" spans="1:56" ht="12.9" customHeight="1">
      <c r="B631" s="508"/>
      <c r="C631" s="2"/>
      <c r="AU631" s="3"/>
      <c r="AZ631" s="3"/>
      <c r="BA631" s="3"/>
      <c r="BB631" s="3"/>
      <c r="BC631" s="3"/>
    </row>
    <row r="632" spans="1:56" ht="12.9" customHeight="1">
      <c r="B632" s="1780" t="s">
        <v>2050</v>
      </c>
      <c r="C632" s="1780"/>
      <c r="D632" s="1780"/>
      <c r="E632" s="1780"/>
      <c r="F632" s="1780"/>
      <c r="G632" s="1780"/>
      <c r="H632" s="1780"/>
      <c r="I632" s="1780"/>
      <c r="J632" s="1780"/>
      <c r="K632" s="1780"/>
      <c r="L632" s="1780"/>
      <c r="M632" s="1559" t="s">
        <v>2051</v>
      </c>
      <c r="N632" s="1559"/>
      <c r="O632" s="1559"/>
      <c r="P632" s="1559"/>
      <c r="Q632" s="1559" t="s">
        <v>1821</v>
      </c>
      <c r="R632" s="1559"/>
      <c r="S632" s="1559"/>
      <c r="T632" s="1559" t="s">
        <v>1819</v>
      </c>
      <c r="U632" s="1559"/>
      <c r="V632" s="1559"/>
      <c r="W632" s="1781" t="s">
        <v>451</v>
      </c>
      <c r="X632" s="1781"/>
      <c r="Y632" s="1781"/>
      <c r="Z632" s="1522" t="s">
        <v>2080</v>
      </c>
      <c r="AA632" s="1522"/>
      <c r="AB632" s="1523"/>
      <c r="AC632" s="1544" t="s">
        <v>1662</v>
      </c>
      <c r="AD632" s="1545"/>
      <c r="AE632" s="1546"/>
      <c r="AF632" s="1521" t="s">
        <v>1896</v>
      </c>
      <c r="AG632" s="1522"/>
      <c r="AH632" s="1522"/>
      <c r="AI632" s="1522"/>
      <c r="AJ632" s="1523"/>
      <c r="AK632" s="1782" t="s">
        <v>1897</v>
      </c>
      <c r="AL632" s="1783"/>
      <c r="AM632" s="1783"/>
      <c r="AN632" s="1784"/>
      <c r="AO632" s="1559" t="s">
        <v>452</v>
      </c>
      <c r="AP632" s="1559"/>
      <c r="AQ632" s="1559"/>
      <c r="AR632" s="1559"/>
      <c r="AS632" s="1559"/>
      <c r="AU632" s="3"/>
      <c r="AZ632" s="3"/>
      <c r="BA632" s="3"/>
      <c r="BB632" s="3"/>
      <c r="BC632" s="3"/>
    </row>
    <row r="633" spans="1:56" ht="12.9" customHeight="1">
      <c r="B633" s="1780"/>
      <c r="C633" s="1780"/>
      <c r="D633" s="1780"/>
      <c r="E633" s="1780"/>
      <c r="F633" s="1780"/>
      <c r="G633" s="1780"/>
      <c r="H633" s="1780"/>
      <c r="I633" s="1780"/>
      <c r="J633" s="1780"/>
      <c r="K633" s="1780"/>
      <c r="L633" s="1780"/>
      <c r="M633" s="1559"/>
      <c r="N633" s="1559"/>
      <c r="O633" s="1559"/>
      <c r="P633" s="1559"/>
      <c r="Q633" s="1559"/>
      <c r="R633" s="1559"/>
      <c r="S633" s="1559"/>
      <c r="T633" s="1559"/>
      <c r="U633" s="1559"/>
      <c r="V633" s="1559"/>
      <c r="W633" s="1781"/>
      <c r="X633" s="1781"/>
      <c r="Y633" s="1781"/>
      <c r="Z633" s="1525"/>
      <c r="AA633" s="1525"/>
      <c r="AB633" s="1526"/>
      <c r="AC633" s="1547"/>
      <c r="AD633" s="1548"/>
      <c r="AE633" s="1549"/>
      <c r="AF633" s="1524"/>
      <c r="AG633" s="1525"/>
      <c r="AH633" s="1525"/>
      <c r="AI633" s="1525"/>
      <c r="AJ633" s="1526"/>
      <c r="AK633" s="1785"/>
      <c r="AL633" s="1786"/>
      <c r="AM633" s="1786"/>
      <c r="AN633" s="1787"/>
      <c r="AO633" s="1559"/>
      <c r="AP633" s="1559"/>
      <c r="AQ633" s="1559"/>
      <c r="AR633" s="1559"/>
      <c r="AS633" s="1559"/>
      <c r="AU633" s="3"/>
      <c r="AZ633" s="3"/>
      <c r="BA633" s="3"/>
      <c r="BB633" s="3"/>
      <c r="BC633" s="3"/>
      <c r="BD633" s="3"/>
    </row>
    <row r="634" spans="1:56" ht="12.9" customHeight="1">
      <c r="B634" s="1780"/>
      <c r="C634" s="1780"/>
      <c r="D634" s="1780"/>
      <c r="E634" s="1780"/>
      <c r="F634" s="1780"/>
      <c r="G634" s="1780"/>
      <c r="H634" s="1780"/>
      <c r="I634" s="1780"/>
      <c r="J634" s="1780"/>
      <c r="K634" s="1780"/>
      <c r="L634" s="1780"/>
      <c r="M634" s="1559"/>
      <c r="N634" s="1559"/>
      <c r="O634" s="1559"/>
      <c r="P634" s="1559"/>
      <c r="Q634" s="1559"/>
      <c r="R634" s="1559"/>
      <c r="S634" s="1559"/>
      <c r="T634" s="1559"/>
      <c r="U634" s="1559"/>
      <c r="V634" s="1559"/>
      <c r="W634" s="1781"/>
      <c r="X634" s="1781"/>
      <c r="Y634" s="1781"/>
      <c r="Z634" s="1528"/>
      <c r="AA634" s="1528"/>
      <c r="AB634" s="1529"/>
      <c r="AC634" s="1550"/>
      <c r="AD634" s="1551"/>
      <c r="AE634" s="1552"/>
      <c r="AF634" s="1527"/>
      <c r="AG634" s="1528"/>
      <c r="AH634" s="1528"/>
      <c r="AI634" s="1528"/>
      <c r="AJ634" s="1529"/>
      <c r="AK634" s="1788"/>
      <c r="AL634" s="1789"/>
      <c r="AM634" s="1789"/>
      <c r="AN634" s="1790"/>
      <c r="AO634" s="1559"/>
      <c r="AP634" s="1559"/>
      <c r="AQ634" s="1559"/>
      <c r="AR634" s="1559"/>
      <c r="AS634" s="1559"/>
      <c r="AT634" s="3"/>
      <c r="AU634" s="3"/>
      <c r="AZ634" s="3"/>
      <c r="BA634" s="3"/>
      <c r="BB634" s="3"/>
      <c r="BC634" s="3"/>
      <c r="BD634" s="3"/>
    </row>
    <row r="635" spans="1:56" ht="12.9" customHeight="1">
      <c r="B635" s="51" t="s">
        <v>112</v>
      </c>
      <c r="C635" s="1577" t="s">
        <v>2826</v>
      </c>
      <c r="D635" s="1577"/>
      <c r="E635" s="1577"/>
      <c r="F635" s="1577"/>
      <c r="G635" s="1577"/>
      <c r="H635" s="1577"/>
      <c r="I635" s="1577"/>
      <c r="J635" s="1577"/>
      <c r="K635" s="1577"/>
      <c r="L635" s="1577"/>
      <c r="M635" s="1563" t="s">
        <v>2067</v>
      </c>
      <c r="N635" s="1563"/>
      <c r="O635" s="1563"/>
      <c r="P635" s="1563"/>
      <c r="Q635" s="1514">
        <v>204</v>
      </c>
      <c r="R635" s="1514"/>
      <c r="S635" s="1515"/>
      <c r="T635" s="1513">
        <v>480</v>
      </c>
      <c r="U635" s="1514"/>
      <c r="V635" s="1515"/>
      <c r="W635" s="1560">
        <v>6.5000000000000002E-2</v>
      </c>
      <c r="X635" s="1561"/>
      <c r="Y635" s="1562"/>
      <c r="Z635" s="1518" t="s">
        <v>2079</v>
      </c>
      <c r="AA635" s="1519"/>
      <c r="AB635" s="1520"/>
      <c r="AC635" s="1582">
        <v>1</v>
      </c>
      <c r="AD635" s="1583"/>
      <c r="AE635" s="1584"/>
      <c r="AF635" s="1763">
        <v>1484393</v>
      </c>
      <c r="AG635" s="1764"/>
      <c r="AH635" s="1764"/>
      <c r="AI635" s="1764"/>
      <c r="AJ635" s="1765"/>
      <c r="AK635" s="1554"/>
      <c r="AL635" s="1555"/>
      <c r="AM635" s="1555"/>
      <c r="AN635" s="1556"/>
      <c r="AO635" s="1734">
        <v>21128698</v>
      </c>
      <c r="AP635" s="1734"/>
      <c r="AQ635" s="1734"/>
      <c r="AR635" s="1734"/>
      <c r="AS635" s="1734"/>
      <c r="AT635" s="3"/>
      <c r="AU635" s="3"/>
      <c r="AZ635" s="3"/>
      <c r="BA635" s="3"/>
      <c r="BB635" s="3"/>
      <c r="BC635" s="3"/>
      <c r="BD635" s="3"/>
    </row>
    <row r="636" spans="1:56" ht="12.9" customHeight="1">
      <c r="B636" s="52" t="s">
        <v>113</v>
      </c>
      <c r="C636" s="1577" t="s">
        <v>2826</v>
      </c>
      <c r="D636" s="1577"/>
      <c r="E636" s="1577"/>
      <c r="F636" s="1577"/>
      <c r="G636" s="1577"/>
      <c r="H636" s="1577"/>
      <c r="I636" s="1577"/>
      <c r="J636" s="1577"/>
      <c r="K636" s="1577"/>
      <c r="L636" s="1577"/>
      <c r="M636" s="1563" t="s">
        <v>2066</v>
      </c>
      <c r="N636" s="1563"/>
      <c r="O636" s="1563"/>
      <c r="P636" s="1563"/>
      <c r="Q636" s="1513">
        <v>204</v>
      </c>
      <c r="R636" s="1514"/>
      <c r="S636" s="1515"/>
      <c r="T636" s="1513">
        <v>480</v>
      </c>
      <c r="U636" s="1514"/>
      <c r="V636" s="1515"/>
      <c r="W636" s="1560">
        <v>7.2499999999999995E-2</v>
      </c>
      <c r="X636" s="1561"/>
      <c r="Y636" s="1562"/>
      <c r="Z636" s="1518" t="s">
        <v>2079</v>
      </c>
      <c r="AA636" s="1519"/>
      <c r="AB636" s="1520"/>
      <c r="AC636" s="1582">
        <v>2</v>
      </c>
      <c r="AD636" s="1583"/>
      <c r="AE636" s="1584"/>
      <c r="AF636" s="1763">
        <v>4146</v>
      </c>
      <c r="AG636" s="1764"/>
      <c r="AH636" s="1764"/>
      <c r="AI636" s="1764"/>
      <c r="AJ636" s="1765"/>
      <c r="AK636" s="1554"/>
      <c r="AL636" s="1555"/>
      <c r="AM636" s="1555"/>
      <c r="AN636" s="1556"/>
      <c r="AO636" s="1530">
        <v>54008</v>
      </c>
      <c r="AP636" s="1531"/>
      <c r="AQ636" s="1531"/>
      <c r="AR636" s="1531"/>
      <c r="AS636" s="1532"/>
      <c r="AT636" s="1137" t="str">
        <f>IF(AND(NOT(C635=""),C636="",NOT(C637="")),"!","")</f>
        <v/>
      </c>
      <c r="AU636" s="3"/>
      <c r="AZ636" s="3"/>
      <c r="BA636" s="3"/>
      <c r="BB636" s="3"/>
      <c r="BC636" s="3"/>
      <c r="BD636" s="3"/>
    </row>
    <row r="637" spans="1:56" ht="12.9" customHeight="1">
      <c r="B637" s="52" t="s">
        <v>119</v>
      </c>
      <c r="C637" s="1577" t="s">
        <v>2827</v>
      </c>
      <c r="D637" s="1577"/>
      <c r="E637" s="1577"/>
      <c r="F637" s="1577"/>
      <c r="G637" s="1577"/>
      <c r="H637" s="1577"/>
      <c r="I637" s="1577"/>
      <c r="J637" s="1577"/>
      <c r="K637" s="1577"/>
      <c r="L637" s="1577"/>
      <c r="M637" s="1563" t="s">
        <v>2068</v>
      </c>
      <c r="N637" s="1563"/>
      <c r="O637" s="1563"/>
      <c r="P637" s="1563"/>
      <c r="Q637" s="1513">
        <v>204</v>
      </c>
      <c r="R637" s="1514"/>
      <c r="S637" s="1515"/>
      <c r="T637" s="1513"/>
      <c r="U637" s="1514"/>
      <c r="V637" s="1515"/>
      <c r="W637" s="1560">
        <v>0.08</v>
      </c>
      <c r="X637" s="1561"/>
      <c r="Y637" s="1562"/>
      <c r="Z637" s="1518" t="s">
        <v>455</v>
      </c>
      <c r="AA637" s="1519"/>
      <c r="AB637" s="1520"/>
      <c r="AC637" s="1582">
        <v>3</v>
      </c>
      <c r="AD637" s="1583"/>
      <c r="AE637" s="1584"/>
      <c r="AF637" s="1763"/>
      <c r="AG637" s="1764"/>
      <c r="AH637" s="1764"/>
      <c r="AI637" s="1764"/>
      <c r="AJ637" s="1765"/>
      <c r="AK637" s="1554"/>
      <c r="AL637" s="1555"/>
      <c r="AM637" s="1555"/>
      <c r="AN637" s="1556"/>
      <c r="AO637" s="1530">
        <v>5000000</v>
      </c>
      <c r="AP637" s="1531"/>
      <c r="AQ637" s="1531"/>
      <c r="AR637" s="1531"/>
      <c r="AS637" s="1532"/>
      <c r="AT637" s="1137" t="str">
        <f t="shared" ref="AT637:AT646" si="3">IF(AND(NOT(C636=""),C637="",NOT(C638="")),"!","")</f>
        <v/>
      </c>
      <c r="AU637" s="3"/>
      <c r="AZ637" s="3"/>
      <c r="BA637" s="3"/>
      <c r="BB637" s="3"/>
      <c r="BC637" s="3"/>
      <c r="BD637" s="3"/>
    </row>
    <row r="638" spans="1:56" ht="12.9" customHeight="1">
      <c r="B638" s="52" t="s">
        <v>579</v>
      </c>
      <c r="C638" s="1577" t="s">
        <v>2829</v>
      </c>
      <c r="D638" s="1578"/>
      <c r="E638" s="1578"/>
      <c r="F638" s="1578"/>
      <c r="G638" s="1578"/>
      <c r="H638" s="1578"/>
      <c r="I638" s="1578"/>
      <c r="J638" s="1578"/>
      <c r="K638" s="1578"/>
      <c r="L638" s="1578"/>
      <c r="M638" s="1563" t="s">
        <v>2070</v>
      </c>
      <c r="N638" s="1563"/>
      <c r="O638" s="1563"/>
      <c r="P638" s="1563"/>
      <c r="Q638" s="1513"/>
      <c r="R638" s="1514"/>
      <c r="S638" s="1515"/>
      <c r="T638" s="1513"/>
      <c r="U638" s="1514"/>
      <c r="V638" s="1515"/>
      <c r="W638" s="1560"/>
      <c r="X638" s="1561"/>
      <c r="Y638" s="1562"/>
      <c r="Z638" s="1518" t="s">
        <v>2079</v>
      </c>
      <c r="AA638" s="1519"/>
      <c r="AB638" s="1520"/>
      <c r="AC638" s="1582"/>
      <c r="AD638" s="1583"/>
      <c r="AE638" s="1584"/>
      <c r="AF638" s="1763"/>
      <c r="AG638" s="1764"/>
      <c r="AH638" s="1764"/>
      <c r="AI638" s="1764"/>
      <c r="AJ638" s="1765"/>
      <c r="AK638" s="1554"/>
      <c r="AL638" s="1555"/>
      <c r="AM638" s="1555"/>
      <c r="AN638" s="1556"/>
      <c r="AO638" s="1530">
        <v>10900000</v>
      </c>
      <c r="AP638" s="1531"/>
      <c r="AQ638" s="1531"/>
      <c r="AR638" s="1531"/>
      <c r="AS638" s="1532"/>
      <c r="AT638" s="1137" t="str">
        <f t="shared" si="3"/>
        <v/>
      </c>
      <c r="AU638" s="3"/>
      <c r="AZ638" s="3"/>
      <c r="BA638" s="3"/>
      <c r="BB638" s="3"/>
      <c r="BC638" s="3"/>
      <c r="BD638" s="3"/>
    </row>
    <row r="639" spans="1:56" ht="12.9" customHeight="1">
      <c r="B639" s="52" t="s">
        <v>761</v>
      </c>
      <c r="C639" s="1578" t="str">
        <f>+C567</f>
        <v>Short-Term Bond Reinvestment</v>
      </c>
      <c r="D639" s="1578"/>
      <c r="E639" s="1578"/>
      <c r="F639" s="1578"/>
      <c r="G639" s="1578"/>
      <c r="H639" s="1578"/>
      <c r="I639" s="1578"/>
      <c r="J639" s="1578"/>
      <c r="K639" s="1578"/>
      <c r="L639" s="1578"/>
      <c r="M639" s="1563" t="s">
        <v>2070</v>
      </c>
      <c r="N639" s="1563"/>
      <c r="O639" s="1563"/>
      <c r="P639" s="1563"/>
      <c r="Q639" s="1513"/>
      <c r="R639" s="1514"/>
      <c r="S639" s="1515"/>
      <c r="T639" s="1513"/>
      <c r="U639" s="1514"/>
      <c r="V639" s="1515"/>
      <c r="W639" s="1560"/>
      <c r="X639" s="1561"/>
      <c r="Y639" s="1562"/>
      <c r="Z639" s="1518" t="s">
        <v>300</v>
      </c>
      <c r="AA639" s="1519"/>
      <c r="AB639" s="1520"/>
      <c r="AC639" s="1582"/>
      <c r="AD639" s="1583"/>
      <c r="AE639" s="1584"/>
      <c r="AF639" s="1763"/>
      <c r="AG639" s="1764"/>
      <c r="AH639" s="1764"/>
      <c r="AI639" s="1764"/>
      <c r="AJ639" s="1765"/>
      <c r="AK639" s="1554"/>
      <c r="AL639" s="1555"/>
      <c r="AM639" s="1555"/>
      <c r="AN639" s="1556"/>
      <c r="AO639" s="1530">
        <f>2257519+1641600</f>
        <v>3899119</v>
      </c>
      <c r="AP639" s="1531"/>
      <c r="AQ639" s="1531"/>
      <c r="AR639" s="1531"/>
      <c r="AS639" s="1532"/>
      <c r="AT639" s="1137" t="str">
        <f t="shared" si="3"/>
        <v/>
      </c>
      <c r="AU639" s="3"/>
      <c r="AZ639" s="3"/>
      <c r="BA639" s="3"/>
      <c r="BB639" s="3"/>
      <c r="BC639" s="3"/>
      <c r="BD639" s="3"/>
    </row>
    <row r="640" spans="1:56" ht="12.9" customHeight="1">
      <c r="B640" s="52" t="s">
        <v>582</v>
      </c>
      <c r="C640" s="1578" t="s">
        <v>2254</v>
      </c>
      <c r="D640" s="1578"/>
      <c r="E640" s="1578"/>
      <c r="F640" s="1578"/>
      <c r="G640" s="1578"/>
      <c r="H640" s="1578"/>
      <c r="I640" s="1578"/>
      <c r="J640" s="1578"/>
      <c r="K640" s="1578"/>
      <c r="L640" s="1578"/>
      <c r="M640" s="1563" t="s">
        <v>2054</v>
      </c>
      <c r="N640" s="1563"/>
      <c r="O640" s="1563"/>
      <c r="P640" s="1563"/>
      <c r="Q640" s="1513"/>
      <c r="R640" s="1514"/>
      <c r="S640" s="1515"/>
      <c r="T640" s="1513"/>
      <c r="U640" s="1514"/>
      <c r="V640" s="1515"/>
      <c r="W640" s="1560"/>
      <c r="X640" s="1561"/>
      <c r="Y640" s="1562"/>
      <c r="Z640" s="1518" t="s">
        <v>456</v>
      </c>
      <c r="AA640" s="1519"/>
      <c r="AB640" s="1520"/>
      <c r="AC640" s="1582"/>
      <c r="AD640" s="1583"/>
      <c r="AE640" s="1584"/>
      <c r="AF640" s="1763"/>
      <c r="AG640" s="1764"/>
      <c r="AH640" s="1764"/>
      <c r="AI640" s="1764"/>
      <c r="AJ640" s="1765"/>
      <c r="AK640" s="1554"/>
      <c r="AL640" s="1555"/>
      <c r="AM640" s="1555"/>
      <c r="AN640" s="1556"/>
      <c r="AO640" s="1530">
        <v>6178349</v>
      </c>
      <c r="AP640" s="1531"/>
      <c r="AQ640" s="1531"/>
      <c r="AR640" s="1531"/>
      <c r="AS640" s="1532"/>
      <c r="AT640" s="1137" t="str">
        <f t="shared" si="3"/>
        <v/>
      </c>
      <c r="AU640" s="3"/>
      <c r="AZ640" s="3"/>
      <c r="BA640" s="3"/>
      <c r="BB640" s="3"/>
      <c r="BC640" s="3"/>
      <c r="BD640" s="3"/>
    </row>
    <row r="641" spans="1:157" ht="12.9" customHeight="1">
      <c r="B641" s="52" t="s">
        <v>453</v>
      </c>
      <c r="C641" s="1577"/>
      <c r="D641" s="1578"/>
      <c r="E641" s="1578"/>
      <c r="F641" s="1578"/>
      <c r="G641" s="1578"/>
      <c r="H641" s="1578"/>
      <c r="I641" s="1578"/>
      <c r="J641" s="1578"/>
      <c r="K641" s="1578"/>
      <c r="L641" s="1578"/>
      <c r="M641" s="1563" t="s">
        <v>1181</v>
      </c>
      <c r="N641" s="1563"/>
      <c r="O641" s="1563"/>
      <c r="P641" s="1563"/>
      <c r="Q641" s="1513"/>
      <c r="R641" s="1514"/>
      <c r="S641" s="1515"/>
      <c r="T641" s="1513"/>
      <c r="U641" s="1514"/>
      <c r="V641" s="1515"/>
      <c r="W641" s="1560"/>
      <c r="X641" s="1561"/>
      <c r="Y641" s="1562"/>
      <c r="Z641" s="1518" t="s">
        <v>1181</v>
      </c>
      <c r="AA641" s="1519"/>
      <c r="AB641" s="1520"/>
      <c r="AC641" s="1582"/>
      <c r="AD641" s="1583"/>
      <c r="AE641" s="1584"/>
      <c r="AF641" s="1763"/>
      <c r="AG641" s="1764"/>
      <c r="AH641" s="1764"/>
      <c r="AI641" s="1764"/>
      <c r="AJ641" s="1765"/>
      <c r="AK641" s="1554"/>
      <c r="AL641" s="1555"/>
      <c r="AM641" s="1555"/>
      <c r="AN641" s="1556"/>
      <c r="AO641" s="1530"/>
      <c r="AP641" s="1531"/>
      <c r="AQ641" s="1531"/>
      <c r="AR641" s="1531"/>
      <c r="AS641" s="1532"/>
      <c r="AT641" s="1137" t="str">
        <f t="shared" si="3"/>
        <v/>
      </c>
      <c r="AU641" s="3"/>
      <c r="AV641" s="3"/>
      <c r="AW641" s="3"/>
      <c r="AX641" s="3"/>
      <c r="AY641" s="3"/>
      <c r="AZ641" s="3"/>
      <c r="BA641" s="3"/>
      <c r="BB641" s="3"/>
      <c r="BC641" s="3"/>
      <c r="BD641" s="3"/>
    </row>
    <row r="642" spans="1:157" ht="12.9" customHeight="1">
      <c r="B642" s="52" t="s">
        <v>454</v>
      </c>
      <c r="C642" s="1578"/>
      <c r="D642" s="1578"/>
      <c r="E642" s="1578"/>
      <c r="F642" s="1578"/>
      <c r="G642" s="1578"/>
      <c r="H642" s="1578"/>
      <c r="I642" s="1578"/>
      <c r="J642" s="1578"/>
      <c r="K642" s="1578"/>
      <c r="L642" s="1578"/>
      <c r="M642" s="1563" t="s">
        <v>1181</v>
      </c>
      <c r="N642" s="1563"/>
      <c r="O642" s="1563"/>
      <c r="P642" s="1563"/>
      <c r="Q642" s="1513"/>
      <c r="R642" s="1514"/>
      <c r="S642" s="1515"/>
      <c r="T642" s="1513"/>
      <c r="U642" s="1514"/>
      <c r="V642" s="1515"/>
      <c r="W642" s="1560"/>
      <c r="X642" s="1561"/>
      <c r="Y642" s="1562"/>
      <c r="Z642" s="1518" t="s">
        <v>1181</v>
      </c>
      <c r="AA642" s="1519"/>
      <c r="AB642" s="1520"/>
      <c r="AC642" s="1582"/>
      <c r="AD642" s="1583"/>
      <c r="AE642" s="1584"/>
      <c r="AF642" s="1763"/>
      <c r="AG642" s="1764"/>
      <c r="AH642" s="1764"/>
      <c r="AI642" s="1764"/>
      <c r="AJ642" s="1765"/>
      <c r="AK642" s="1554"/>
      <c r="AL642" s="1555"/>
      <c r="AM642" s="1555"/>
      <c r="AN642" s="1556"/>
      <c r="AO642" s="1530"/>
      <c r="AP642" s="1531"/>
      <c r="AQ642" s="1531"/>
      <c r="AR642" s="1531"/>
      <c r="AS642" s="1532"/>
      <c r="AT642" s="1137" t="str">
        <f t="shared" si="3"/>
        <v/>
      </c>
      <c r="AU642" s="3"/>
      <c r="AV642" s="3"/>
      <c r="AW642" s="3"/>
      <c r="AX642" s="3"/>
      <c r="AY642" s="3"/>
      <c r="AZ642" s="3"/>
      <c r="BA642" s="3" t="s">
        <v>1181</v>
      </c>
      <c r="BB642" s="3"/>
      <c r="BC642" s="3"/>
      <c r="BD642" s="3"/>
    </row>
    <row r="643" spans="1:157" ht="12.9" customHeight="1">
      <c r="B643" s="52" t="s">
        <v>459</v>
      </c>
      <c r="C643" s="1578"/>
      <c r="D643" s="1578"/>
      <c r="E643" s="1578"/>
      <c r="F643" s="1578"/>
      <c r="G643" s="1578"/>
      <c r="H643" s="1578"/>
      <c r="I643" s="1578"/>
      <c r="J643" s="1578"/>
      <c r="K643" s="1578"/>
      <c r="L643" s="1578"/>
      <c r="M643" s="1563" t="s">
        <v>1181</v>
      </c>
      <c r="N643" s="1563"/>
      <c r="O643" s="1563"/>
      <c r="P643" s="1563"/>
      <c r="Q643" s="1513"/>
      <c r="R643" s="1514"/>
      <c r="S643" s="1515"/>
      <c r="T643" s="1513"/>
      <c r="U643" s="1514"/>
      <c r="V643" s="1515"/>
      <c r="W643" s="1560"/>
      <c r="X643" s="1561"/>
      <c r="Y643" s="1562"/>
      <c r="Z643" s="1518" t="s">
        <v>1181</v>
      </c>
      <c r="AA643" s="1519"/>
      <c r="AB643" s="1520"/>
      <c r="AC643" s="1582"/>
      <c r="AD643" s="1583"/>
      <c r="AE643" s="1584"/>
      <c r="AF643" s="1763"/>
      <c r="AG643" s="1764"/>
      <c r="AH643" s="1764"/>
      <c r="AI643" s="1764"/>
      <c r="AJ643" s="1765"/>
      <c r="AK643" s="1554"/>
      <c r="AL643" s="1555"/>
      <c r="AM643" s="1555"/>
      <c r="AN643" s="1556"/>
      <c r="AO643" s="1530"/>
      <c r="AP643" s="1531"/>
      <c r="AQ643" s="1531"/>
      <c r="AR643" s="1531"/>
      <c r="AS643" s="1532"/>
      <c r="AT643" s="1137" t="str">
        <f t="shared" si="3"/>
        <v/>
      </c>
      <c r="AU643" s="3"/>
      <c r="AV643" s="3"/>
      <c r="AW643" s="3"/>
      <c r="AX643" s="3"/>
      <c r="AY643" s="3"/>
      <c r="AZ643" s="34"/>
      <c r="BA643" s="3" t="s">
        <v>456</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585" t="e">
        <f t="shared" ref="DX643:DX677" si="4">EZ726*(CP726/$CP$761)</f>
        <v>#VALUE!</v>
      </c>
      <c r="DY643" s="1585"/>
      <c r="DZ643" s="1585"/>
      <c r="EA643" s="1585"/>
      <c r="EB643" s="1585"/>
      <c r="EC643" s="1585">
        <f t="shared" ref="EC643:EC677" si="5">FE726*(CU726/$CU$761)</f>
        <v>818.66666666666663</v>
      </c>
      <c r="ED643" s="1585"/>
      <c r="EE643" s="1585"/>
      <c r="EF643" s="1585"/>
      <c r="EG643" s="1585"/>
      <c r="EH643" s="1585" t="e">
        <f t="shared" ref="EH643:EH677" si="6">FJ726*(CZ726/$CZ$761)</f>
        <v>#VALUE!</v>
      </c>
      <c r="EI643" s="1585"/>
      <c r="EJ643" s="1585"/>
      <c r="EK643" s="1585"/>
      <c r="EL643" s="1585"/>
      <c r="EM643" s="1585" t="e">
        <f t="shared" ref="EM643:EM677" si="7">FO726*(DE726/$DE$761)</f>
        <v>#VALUE!</v>
      </c>
      <c r="EN643" s="1585"/>
      <c r="EO643" s="1585"/>
      <c r="EP643" s="1585"/>
      <c r="EQ643" s="1585"/>
      <c r="ER643" s="1585" t="e">
        <f t="shared" ref="ER643:ER677" si="8">FT726*(DJ726/$DJ$761)</f>
        <v>#VALUE!</v>
      </c>
      <c r="ES643" s="1585"/>
      <c r="ET643" s="1585"/>
      <c r="EU643" s="1585"/>
      <c r="EV643" s="1585"/>
      <c r="EW643" s="1585" t="e">
        <f t="shared" ref="EW643:EW677" si="9">FY726*(DO726/$DO$761)</f>
        <v>#VALUE!</v>
      </c>
      <c r="EX643" s="1585"/>
      <c r="EY643" s="1585"/>
      <c r="EZ643" s="1585"/>
      <c r="FA643" s="1585"/>
    </row>
    <row r="644" spans="1:157" ht="12.9" customHeight="1">
      <c r="B644" s="52" t="s">
        <v>644</v>
      </c>
      <c r="C644" s="1578"/>
      <c r="D644" s="1578"/>
      <c r="E644" s="1578"/>
      <c r="F644" s="1578"/>
      <c r="G644" s="1578"/>
      <c r="H644" s="1578"/>
      <c r="I644" s="1578"/>
      <c r="J644" s="1578"/>
      <c r="K644" s="1578"/>
      <c r="L644" s="1578"/>
      <c r="M644" s="1563" t="s">
        <v>1181</v>
      </c>
      <c r="N644" s="1563"/>
      <c r="O644" s="1563"/>
      <c r="P644" s="1563"/>
      <c r="Q644" s="1513"/>
      <c r="R644" s="1514"/>
      <c r="S644" s="1515"/>
      <c r="T644" s="1513"/>
      <c r="U644" s="1514"/>
      <c r="V644" s="1515"/>
      <c r="W644" s="1560"/>
      <c r="X644" s="1561"/>
      <c r="Y644" s="1562"/>
      <c r="Z644" s="1518" t="s">
        <v>1181</v>
      </c>
      <c r="AA644" s="1519"/>
      <c r="AB644" s="1520"/>
      <c r="AC644" s="1582"/>
      <c r="AD644" s="1583"/>
      <c r="AE644" s="1584"/>
      <c r="AF644" s="1763"/>
      <c r="AG644" s="1764"/>
      <c r="AH644" s="1764"/>
      <c r="AI644" s="1764"/>
      <c r="AJ644" s="1765"/>
      <c r="AK644" s="1554"/>
      <c r="AL644" s="1555"/>
      <c r="AM644" s="1555"/>
      <c r="AN644" s="1556"/>
      <c r="AO644" s="1530"/>
      <c r="AP644" s="1531"/>
      <c r="AQ644" s="1531"/>
      <c r="AR644" s="1531"/>
      <c r="AS644" s="1532"/>
      <c r="AT644" s="1137" t="str">
        <f t="shared" si="3"/>
        <v/>
      </c>
      <c r="AV644" s="3"/>
      <c r="AW644" s="3"/>
      <c r="AX644" s="3"/>
      <c r="AY644" s="3"/>
      <c r="AZ644" s="34"/>
      <c r="BA644" s="3" t="s">
        <v>455</v>
      </c>
      <c r="BB644" s="34"/>
      <c r="BC644" s="34"/>
      <c r="BD644" s="34"/>
      <c r="BE644" s="34"/>
      <c r="BF644" s="34"/>
      <c r="BG644" s="34"/>
      <c r="BH644" s="34"/>
      <c r="BI644" s="34"/>
      <c r="BJ644" s="34"/>
      <c r="BK644" s="34"/>
      <c r="BL644" s="34"/>
      <c r="BM644" s="34"/>
      <c r="DA644" s="3"/>
      <c r="DB644" s="3"/>
      <c r="DC644" s="3"/>
      <c r="DD644" s="3"/>
      <c r="DE644" s="3"/>
      <c r="DF644" s="3"/>
      <c r="DX644" s="1585" t="e">
        <f t="shared" si="4"/>
        <v>#VALUE!</v>
      </c>
      <c r="DY644" s="1585"/>
      <c r="DZ644" s="1585"/>
      <c r="EA644" s="1585"/>
      <c r="EB644" s="1585"/>
      <c r="EC644" s="1585">
        <f t="shared" si="5"/>
        <v>600</v>
      </c>
      <c r="ED644" s="1585"/>
      <c r="EE644" s="1585"/>
      <c r="EF644" s="1585"/>
      <c r="EG644" s="1585"/>
      <c r="EH644" s="1585" t="e">
        <f t="shared" si="6"/>
        <v>#VALUE!</v>
      </c>
      <c r="EI644" s="1585"/>
      <c r="EJ644" s="1585"/>
      <c r="EK644" s="1585"/>
      <c r="EL644" s="1585"/>
      <c r="EM644" s="1585" t="e">
        <f t="shared" si="7"/>
        <v>#VALUE!</v>
      </c>
      <c r="EN644" s="1585"/>
      <c r="EO644" s="1585"/>
      <c r="EP644" s="1585"/>
      <c r="EQ644" s="1585"/>
      <c r="ER644" s="1585" t="e">
        <f t="shared" si="8"/>
        <v>#VALUE!</v>
      </c>
      <c r="ES644" s="1585"/>
      <c r="ET644" s="1585"/>
      <c r="EU644" s="1585"/>
      <c r="EV644" s="1585"/>
      <c r="EW644" s="1585" t="e">
        <f t="shared" si="9"/>
        <v>#VALUE!</v>
      </c>
      <c r="EX644" s="1585"/>
      <c r="EY644" s="1585"/>
      <c r="EZ644" s="1585"/>
      <c r="FA644" s="1585"/>
    </row>
    <row r="645" spans="1:157" ht="12.9" customHeight="1">
      <c r="B645" s="52" t="s">
        <v>362</v>
      </c>
      <c r="C645" s="1578"/>
      <c r="D645" s="1578"/>
      <c r="E645" s="1578"/>
      <c r="F645" s="1578"/>
      <c r="G645" s="1578"/>
      <c r="H645" s="1578"/>
      <c r="I645" s="1578"/>
      <c r="J645" s="1578"/>
      <c r="K645" s="1578"/>
      <c r="L645" s="1578"/>
      <c r="M645" s="1563" t="s">
        <v>1181</v>
      </c>
      <c r="N645" s="1563"/>
      <c r="O645" s="1563"/>
      <c r="P645" s="1563"/>
      <c r="Q645" s="1513"/>
      <c r="R645" s="1514"/>
      <c r="S645" s="1515"/>
      <c r="T645" s="1513"/>
      <c r="U645" s="1514"/>
      <c r="V645" s="1515"/>
      <c r="W645" s="1560"/>
      <c r="X645" s="1561"/>
      <c r="Y645" s="1562"/>
      <c r="Z645" s="1518" t="s">
        <v>1181</v>
      </c>
      <c r="AA645" s="1519"/>
      <c r="AB645" s="1520"/>
      <c r="AC645" s="1582"/>
      <c r="AD645" s="1583"/>
      <c r="AE645" s="1584"/>
      <c r="AF645" s="1763"/>
      <c r="AG645" s="1764"/>
      <c r="AH645" s="1764"/>
      <c r="AI645" s="1764"/>
      <c r="AJ645" s="1765"/>
      <c r="AK645" s="1554"/>
      <c r="AL645" s="1555"/>
      <c r="AM645" s="1555"/>
      <c r="AN645" s="1556"/>
      <c r="AO645" s="1530"/>
      <c r="AP645" s="1531"/>
      <c r="AQ645" s="1531"/>
      <c r="AR645" s="1531"/>
      <c r="AS645" s="1532"/>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585" t="e">
        <f t="shared" si="4"/>
        <v>#VALUE!</v>
      </c>
      <c r="DY645" s="1585"/>
      <c r="DZ645" s="1585"/>
      <c r="EA645" s="1585"/>
      <c r="EB645" s="1585"/>
      <c r="EC645" s="1585">
        <f t="shared" si="5"/>
        <v>372.8</v>
      </c>
      <c r="ED645" s="1585"/>
      <c r="EE645" s="1585"/>
      <c r="EF645" s="1585"/>
      <c r="EG645" s="1585"/>
      <c r="EH645" s="1585" t="e">
        <f t="shared" si="6"/>
        <v>#VALUE!</v>
      </c>
      <c r="EI645" s="1585"/>
      <c r="EJ645" s="1585"/>
      <c r="EK645" s="1585"/>
      <c r="EL645" s="1585"/>
      <c r="EM645" s="1585" t="e">
        <f t="shared" si="7"/>
        <v>#VALUE!</v>
      </c>
      <c r="EN645" s="1585"/>
      <c r="EO645" s="1585"/>
      <c r="EP645" s="1585"/>
      <c r="EQ645" s="1585"/>
      <c r="ER645" s="1585" t="e">
        <f t="shared" si="8"/>
        <v>#VALUE!</v>
      </c>
      <c r="ES645" s="1585"/>
      <c r="ET645" s="1585"/>
      <c r="EU645" s="1585"/>
      <c r="EV645" s="1585"/>
      <c r="EW645" s="1585" t="e">
        <f t="shared" si="9"/>
        <v>#VALUE!</v>
      </c>
      <c r="EX645" s="1585"/>
      <c r="EY645" s="1585"/>
      <c r="EZ645" s="1585"/>
      <c r="FA645" s="1585"/>
    </row>
    <row r="646" spans="1:157" ht="12.9" customHeight="1">
      <c r="B646" s="52" t="s">
        <v>363</v>
      </c>
      <c r="C646" s="1578"/>
      <c r="D646" s="1578"/>
      <c r="E646" s="1578"/>
      <c r="F646" s="1578"/>
      <c r="G646" s="1578"/>
      <c r="H646" s="1578"/>
      <c r="I646" s="1578"/>
      <c r="J646" s="1578"/>
      <c r="K646" s="1578"/>
      <c r="L646" s="1578"/>
      <c r="M646" s="1563" t="s">
        <v>1181</v>
      </c>
      <c r="N646" s="1563"/>
      <c r="O646" s="1563"/>
      <c r="P646" s="1563"/>
      <c r="Q646" s="1513"/>
      <c r="R646" s="1514"/>
      <c r="S646" s="1515"/>
      <c r="T646" s="1513"/>
      <c r="U646" s="1514"/>
      <c r="V646" s="1515"/>
      <c r="W646" s="1560"/>
      <c r="X646" s="1561"/>
      <c r="Y646" s="1562"/>
      <c r="Z646" s="1518" t="s">
        <v>1181</v>
      </c>
      <c r="AA646" s="1519"/>
      <c r="AB646" s="1520"/>
      <c r="AC646" s="1582"/>
      <c r="AD646" s="1583"/>
      <c r="AE646" s="1584"/>
      <c r="AF646" s="1763"/>
      <c r="AG646" s="1764"/>
      <c r="AH646" s="1764"/>
      <c r="AI646" s="1764"/>
      <c r="AJ646" s="1765"/>
      <c r="AK646" s="1554"/>
      <c r="AL646" s="1555"/>
      <c r="AM646" s="1555"/>
      <c r="AN646" s="1556"/>
      <c r="AO646" s="1530"/>
      <c r="AP646" s="1531"/>
      <c r="AQ646" s="1531"/>
      <c r="AR646" s="1531"/>
      <c r="AS646" s="1532"/>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585" t="e">
        <f t="shared" si="4"/>
        <v>#VALUE!</v>
      </c>
      <c r="DY646" s="1585"/>
      <c r="DZ646" s="1585"/>
      <c r="EA646" s="1585"/>
      <c r="EB646" s="1585"/>
      <c r="EC646" s="1585">
        <f t="shared" si="5"/>
        <v>218.8</v>
      </c>
      <c r="ED646" s="1585"/>
      <c r="EE646" s="1585"/>
      <c r="EF646" s="1585"/>
      <c r="EG646" s="1585"/>
      <c r="EH646" s="1585" t="e">
        <f t="shared" si="6"/>
        <v>#VALUE!</v>
      </c>
      <c r="EI646" s="1585"/>
      <c r="EJ646" s="1585"/>
      <c r="EK646" s="1585"/>
      <c r="EL646" s="1585"/>
      <c r="EM646" s="1585" t="e">
        <f t="shared" si="7"/>
        <v>#VALUE!</v>
      </c>
      <c r="EN646" s="1585"/>
      <c r="EO646" s="1585"/>
      <c r="EP646" s="1585"/>
      <c r="EQ646" s="1585"/>
      <c r="ER646" s="1585" t="e">
        <f t="shared" si="8"/>
        <v>#VALUE!</v>
      </c>
      <c r="ES646" s="1585"/>
      <c r="ET646" s="1585"/>
      <c r="EU646" s="1585"/>
      <c r="EV646" s="1585"/>
      <c r="EW646" s="1585" t="e">
        <f t="shared" si="9"/>
        <v>#VALUE!</v>
      </c>
      <c r="EX646" s="1585"/>
      <c r="EY646" s="1585"/>
      <c r="EZ646" s="1585"/>
      <c r="FA646" s="1585"/>
    </row>
    <row r="647" spans="1:157" ht="12.9" customHeight="1">
      <c r="B647" s="1586" t="s">
        <v>128</v>
      </c>
      <c r="C647" s="1587"/>
      <c r="D647" s="1587"/>
      <c r="E647" s="1587"/>
      <c r="F647" s="1587"/>
      <c r="G647" s="1587"/>
      <c r="H647" s="1587"/>
      <c r="I647" s="1587"/>
      <c r="J647" s="1587"/>
      <c r="K647" s="1587"/>
      <c r="L647" s="1587"/>
      <c r="M647" s="1587"/>
      <c r="N647" s="1587"/>
      <c r="O647" s="1587"/>
      <c r="P647" s="1587"/>
      <c r="Q647" s="1587"/>
      <c r="R647" s="1587"/>
      <c r="S647" s="1587"/>
      <c r="T647" s="1587"/>
      <c r="U647" s="1587"/>
      <c r="V647" s="1587"/>
      <c r="W647" s="1587"/>
      <c r="X647" s="1587"/>
      <c r="Y647" s="1587"/>
      <c r="Z647" s="1587"/>
      <c r="AA647" s="1587"/>
      <c r="AB647" s="1587"/>
      <c r="AC647" s="1587"/>
      <c r="AD647" s="1587"/>
      <c r="AE647" s="1587"/>
      <c r="AF647" s="1587"/>
      <c r="AG647" s="1587"/>
      <c r="AH647" s="1587"/>
      <c r="AI647" s="1587"/>
      <c r="AJ647" s="1587"/>
      <c r="AK647" s="1587"/>
      <c r="AL647" s="1587"/>
      <c r="AM647" s="1587"/>
      <c r="AN647" s="1588"/>
      <c r="AO647" s="1540">
        <f>SUM(AO635:AR646)</f>
        <v>47160174</v>
      </c>
      <c r="AP647" s="1541"/>
      <c r="AQ647" s="1541"/>
      <c r="AR647" s="1541"/>
      <c r="AS647" s="1542"/>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585" t="e">
        <f t="shared" si="4"/>
        <v>#VALUE!</v>
      </c>
      <c r="DY647" s="1585"/>
      <c r="DZ647" s="1585"/>
      <c r="EA647" s="1585"/>
      <c r="EB647" s="1585"/>
      <c r="EC647" s="1585" t="e">
        <f t="shared" si="5"/>
        <v>#VALUE!</v>
      </c>
      <c r="ED647" s="1585"/>
      <c r="EE647" s="1585"/>
      <c r="EF647" s="1585"/>
      <c r="EG647" s="1585"/>
      <c r="EH647" s="1585">
        <f t="shared" si="6"/>
        <v>607.0454545454545</v>
      </c>
      <c r="EI647" s="1585"/>
      <c r="EJ647" s="1585"/>
      <c r="EK647" s="1585"/>
      <c r="EL647" s="1585"/>
      <c r="EM647" s="1585" t="e">
        <f t="shared" si="7"/>
        <v>#VALUE!</v>
      </c>
      <c r="EN647" s="1585"/>
      <c r="EO647" s="1585"/>
      <c r="EP647" s="1585"/>
      <c r="EQ647" s="1585"/>
      <c r="ER647" s="1585" t="e">
        <f t="shared" si="8"/>
        <v>#VALUE!</v>
      </c>
      <c r="ES647" s="1585"/>
      <c r="ET647" s="1585"/>
      <c r="EU647" s="1585"/>
      <c r="EV647" s="1585"/>
      <c r="EW647" s="1585" t="e">
        <f t="shared" si="9"/>
        <v>#VALUE!</v>
      </c>
      <c r="EX647" s="1585"/>
      <c r="EY647" s="1585"/>
      <c r="EZ647" s="1585"/>
      <c r="FA647" s="1585"/>
    </row>
    <row r="648" spans="1:157" ht="12.9" customHeight="1">
      <c r="B648" s="1586" t="s">
        <v>267</v>
      </c>
      <c r="C648" s="1587"/>
      <c r="D648" s="1587"/>
      <c r="E648" s="1587"/>
      <c r="F648" s="1587"/>
      <c r="G648" s="1587"/>
      <c r="H648" s="1587"/>
      <c r="I648" s="1587"/>
      <c r="J648" s="1587"/>
      <c r="K648" s="1587"/>
      <c r="L648" s="1587"/>
      <c r="M648" s="1587"/>
      <c r="N648" s="1587"/>
      <c r="O648" s="1587"/>
      <c r="P648" s="1587"/>
      <c r="Q648" s="1587"/>
      <c r="R648" s="1587"/>
      <c r="S648" s="1587"/>
      <c r="T648" s="1587"/>
      <c r="U648" s="1587"/>
      <c r="V648" s="1587"/>
      <c r="W648" s="1587"/>
      <c r="X648" s="1587"/>
      <c r="Y648" s="1587"/>
      <c r="Z648" s="1587"/>
      <c r="AA648" s="1587"/>
      <c r="AB648" s="1587"/>
      <c r="AC648" s="1587"/>
      <c r="AD648" s="1587"/>
      <c r="AE648" s="1587"/>
      <c r="AF648" s="1587"/>
      <c r="AG648" s="1587"/>
      <c r="AH648" s="1587"/>
      <c r="AI648" s="1587"/>
      <c r="AJ648" s="1587"/>
      <c r="AK648" s="1587"/>
      <c r="AL648" s="1587"/>
      <c r="AM648" s="1587"/>
      <c r="AN648" s="1588"/>
      <c r="AO648" s="1530">
        <v>32757730</v>
      </c>
      <c r="AP648" s="1531"/>
      <c r="AQ648" s="1531"/>
      <c r="AR648" s="1531"/>
      <c r="AS648" s="153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585" t="e">
        <f t="shared" si="4"/>
        <v>#VALUE!</v>
      </c>
      <c r="DY648" s="1585"/>
      <c r="DZ648" s="1585"/>
      <c r="EA648" s="1585"/>
      <c r="EB648" s="1585"/>
      <c r="EC648" s="1585" t="e">
        <f t="shared" si="5"/>
        <v>#VALUE!</v>
      </c>
      <c r="ED648" s="1585"/>
      <c r="EE648" s="1585"/>
      <c r="EF648" s="1585"/>
      <c r="EG648" s="1585"/>
      <c r="EH648" s="1585">
        <f t="shared" si="6"/>
        <v>1578.318181818182</v>
      </c>
      <c r="EI648" s="1585"/>
      <c r="EJ648" s="1585"/>
      <c r="EK648" s="1585"/>
      <c r="EL648" s="1585"/>
      <c r="EM648" s="1585" t="e">
        <f t="shared" si="7"/>
        <v>#VALUE!</v>
      </c>
      <c r="EN648" s="1585"/>
      <c r="EO648" s="1585"/>
      <c r="EP648" s="1585"/>
      <c r="EQ648" s="1585"/>
      <c r="ER648" s="1585" t="e">
        <f t="shared" si="8"/>
        <v>#VALUE!</v>
      </c>
      <c r="ES648" s="1585"/>
      <c r="ET648" s="1585"/>
      <c r="EU648" s="1585"/>
      <c r="EV648" s="1585"/>
      <c r="EW648" s="1585" t="e">
        <f t="shared" si="9"/>
        <v>#VALUE!</v>
      </c>
      <c r="EX648" s="1585"/>
      <c r="EY648" s="1585"/>
      <c r="EZ648" s="1585"/>
      <c r="FA648" s="1585"/>
    </row>
    <row r="649" spans="1:157" ht="12.9" customHeight="1">
      <c r="B649" s="1776" t="s">
        <v>268</v>
      </c>
      <c r="C649" s="1777"/>
      <c r="D649" s="1777"/>
      <c r="E649" s="1777"/>
      <c r="F649" s="1777"/>
      <c r="G649" s="1777"/>
      <c r="H649" s="1777"/>
      <c r="I649" s="1777"/>
      <c r="J649" s="1777"/>
      <c r="K649" s="1777"/>
      <c r="L649" s="1777"/>
      <c r="M649" s="1777"/>
      <c r="N649" s="1777"/>
      <c r="O649" s="1777"/>
      <c r="P649" s="1777"/>
      <c r="Q649" s="1777"/>
      <c r="R649" s="1777"/>
      <c r="S649" s="1777"/>
      <c r="T649" s="1777"/>
      <c r="U649" s="1777"/>
      <c r="V649" s="1777"/>
      <c r="W649" s="1777"/>
      <c r="X649" s="1777"/>
      <c r="Y649" s="1777"/>
      <c r="Z649" s="1777"/>
      <c r="AA649" s="1777"/>
      <c r="AB649" s="1777"/>
      <c r="AC649" s="1777"/>
      <c r="AD649" s="1777"/>
      <c r="AE649" s="1777"/>
      <c r="AF649" s="1777"/>
      <c r="AG649" s="1777"/>
      <c r="AH649" s="1777"/>
      <c r="AI649" s="1777"/>
      <c r="AJ649" s="1777"/>
      <c r="AK649" s="1777"/>
      <c r="AL649" s="1777"/>
      <c r="AM649" s="1777"/>
      <c r="AN649" s="1778"/>
      <c r="AO649" s="1540">
        <f>AO647+AO648</f>
        <v>79917904</v>
      </c>
      <c r="AP649" s="1541"/>
      <c r="AQ649" s="1541"/>
      <c r="AR649" s="1541"/>
      <c r="AS649" s="1542"/>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585" t="e">
        <f t="shared" si="4"/>
        <v>#VALUE!</v>
      </c>
      <c r="DY649" s="1585"/>
      <c r="DZ649" s="1585"/>
      <c r="EA649" s="1585"/>
      <c r="EB649" s="1585"/>
      <c r="EC649" s="1585" t="e">
        <f t="shared" si="5"/>
        <v>#VALUE!</v>
      </c>
      <c r="ED649" s="1585"/>
      <c r="EE649" s="1585"/>
      <c r="EF649" s="1585"/>
      <c r="EG649" s="1585"/>
      <c r="EH649" s="1585">
        <f t="shared" si="6"/>
        <v>202.54545454545456</v>
      </c>
      <c r="EI649" s="1585"/>
      <c r="EJ649" s="1585"/>
      <c r="EK649" s="1585"/>
      <c r="EL649" s="1585"/>
      <c r="EM649" s="1585" t="e">
        <f t="shared" si="7"/>
        <v>#VALUE!</v>
      </c>
      <c r="EN649" s="1585"/>
      <c r="EO649" s="1585"/>
      <c r="EP649" s="1585"/>
      <c r="EQ649" s="1585"/>
      <c r="ER649" s="1585" t="e">
        <f t="shared" si="8"/>
        <v>#VALUE!</v>
      </c>
      <c r="ES649" s="1585"/>
      <c r="ET649" s="1585"/>
      <c r="EU649" s="1585"/>
      <c r="EV649" s="1585"/>
      <c r="EW649" s="1585" t="e">
        <f t="shared" si="9"/>
        <v>#VALUE!</v>
      </c>
      <c r="EX649" s="1585"/>
      <c r="EY649" s="1585"/>
      <c r="EZ649" s="1585"/>
      <c r="FA649" s="1585"/>
    </row>
    <row r="650" spans="1:157" ht="12.9"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585" t="e">
        <f t="shared" si="4"/>
        <v>#VALUE!</v>
      </c>
      <c r="DY650" s="1585"/>
      <c r="DZ650" s="1585"/>
      <c r="EA650" s="1585"/>
      <c r="EB650" s="1585"/>
      <c r="EC650" s="1585" t="e">
        <f t="shared" si="5"/>
        <v>#VALUE!</v>
      </c>
      <c r="ED650" s="1585"/>
      <c r="EE650" s="1585"/>
      <c r="EF650" s="1585"/>
      <c r="EG650" s="1585"/>
      <c r="EH650" s="1585">
        <f t="shared" si="6"/>
        <v>118.45454545454545</v>
      </c>
      <c r="EI650" s="1585"/>
      <c r="EJ650" s="1585"/>
      <c r="EK650" s="1585"/>
      <c r="EL650" s="1585"/>
      <c r="EM650" s="1585" t="e">
        <f t="shared" si="7"/>
        <v>#VALUE!</v>
      </c>
      <c r="EN650" s="1585"/>
      <c r="EO650" s="1585"/>
      <c r="EP650" s="1585"/>
      <c r="EQ650" s="1585"/>
      <c r="ER650" s="1585" t="e">
        <f t="shared" si="8"/>
        <v>#VALUE!</v>
      </c>
      <c r="ES650" s="1585"/>
      <c r="ET650" s="1585"/>
      <c r="EU650" s="1585"/>
      <c r="EV650" s="1585"/>
      <c r="EW650" s="1585" t="e">
        <f t="shared" si="9"/>
        <v>#VALUE!</v>
      </c>
      <c r="EX650" s="1585"/>
      <c r="EY650" s="1585"/>
      <c r="EZ650" s="1585"/>
      <c r="FA650" s="1585"/>
    </row>
    <row r="651" spans="1:157" ht="12.9" customHeight="1">
      <c r="A651" s="55" t="s">
        <v>112</v>
      </c>
      <c r="B651" t="s">
        <v>461</v>
      </c>
      <c r="G651" s="1512" t="str">
        <f>C635</f>
        <v>CitiBank</v>
      </c>
      <c r="H651" s="1512"/>
      <c r="I651" s="1512"/>
      <c r="J651" s="1512"/>
      <c r="K651" s="1512"/>
      <c r="L651" s="1512"/>
      <c r="M651" s="1512"/>
      <c r="N651" s="1512"/>
      <c r="O651" s="1512"/>
      <c r="P651" s="1512"/>
      <c r="Q651" s="1512"/>
      <c r="R651" s="1512"/>
      <c r="S651" s="8"/>
      <c r="T651" s="55" t="s">
        <v>113</v>
      </c>
      <c r="U651" t="s">
        <v>461</v>
      </c>
      <c r="Z651" s="1512" t="str">
        <f>C636</f>
        <v>CitiBank</v>
      </c>
      <c r="AA651" s="1512"/>
      <c r="AB651" s="1512"/>
      <c r="AC651" s="1512"/>
      <c r="AD651" s="1512"/>
      <c r="AE651" s="1512"/>
      <c r="AF651" s="1512"/>
      <c r="AG651" s="1512"/>
      <c r="AH651" s="1512"/>
      <c r="AI651" s="1512"/>
      <c r="AJ651" s="1512"/>
      <c r="AK651" s="1512"/>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585" t="e">
        <f t="shared" si="4"/>
        <v>#VALUE!</v>
      </c>
      <c r="DY651" s="1585"/>
      <c r="DZ651" s="1585"/>
      <c r="EA651" s="1585"/>
      <c r="EB651" s="1585"/>
      <c r="EC651" s="1585" t="e">
        <f t="shared" si="5"/>
        <v>#VALUE!</v>
      </c>
      <c r="ED651" s="1585"/>
      <c r="EE651" s="1585"/>
      <c r="EF651" s="1585"/>
      <c r="EG651" s="1585"/>
      <c r="EH651" s="1585" t="e">
        <f t="shared" si="6"/>
        <v>#VALUE!</v>
      </c>
      <c r="EI651" s="1585"/>
      <c r="EJ651" s="1585"/>
      <c r="EK651" s="1585"/>
      <c r="EL651" s="1585"/>
      <c r="EM651" s="1585">
        <f t="shared" si="7"/>
        <v>596.03773584905662</v>
      </c>
      <c r="EN651" s="1585"/>
      <c r="EO651" s="1585"/>
      <c r="EP651" s="1585"/>
      <c r="EQ651" s="1585"/>
      <c r="ER651" s="1585" t="e">
        <f t="shared" si="8"/>
        <v>#VALUE!</v>
      </c>
      <c r="ES651" s="1585"/>
      <c r="ET651" s="1585"/>
      <c r="EU651" s="1585"/>
      <c r="EV651" s="1585"/>
      <c r="EW651" s="1585" t="e">
        <f t="shared" si="9"/>
        <v>#VALUE!</v>
      </c>
      <c r="EX651" s="1585"/>
      <c r="EY651" s="1585"/>
      <c r="EZ651" s="1585"/>
      <c r="FA651" s="1585"/>
    </row>
    <row r="652" spans="1:157" ht="12.9" customHeight="1">
      <c r="A652" s="22"/>
      <c r="B652" t="s">
        <v>85</v>
      </c>
      <c r="G652" s="1539" t="str">
        <f>G577</f>
        <v>300 South Grand  Avenue</v>
      </c>
      <c r="H652" s="1539"/>
      <c r="I652" s="1539"/>
      <c r="J652" s="1539"/>
      <c r="K652" s="1539"/>
      <c r="L652" s="1539"/>
      <c r="M652" s="1539"/>
      <c r="N652" s="1539"/>
      <c r="O652" s="1539"/>
      <c r="P652" s="1539"/>
      <c r="Q652" s="1539"/>
      <c r="R652" s="1539"/>
      <c r="S652" s="8"/>
      <c r="T652" s="22"/>
      <c r="U652" t="s">
        <v>85</v>
      </c>
      <c r="Z652" s="1539" t="str">
        <f>G652</f>
        <v>300 South Grand  Avenue</v>
      </c>
      <c r="AA652" s="1539"/>
      <c r="AB652" s="1539"/>
      <c r="AC652" s="1539"/>
      <c r="AD652" s="1539"/>
      <c r="AE652" s="1539"/>
      <c r="AF652" s="1539"/>
      <c r="AG652" s="1539"/>
      <c r="AH652" s="1539"/>
      <c r="AI652" s="1539"/>
      <c r="AJ652" s="1539"/>
      <c r="AK652" s="1539"/>
      <c r="AV652" s="3"/>
      <c r="AW652" s="3"/>
      <c r="AX652" s="3"/>
      <c r="AY652" s="3"/>
      <c r="AZ652" s="3"/>
      <c r="BA652" s="3"/>
      <c r="BB652" s="3"/>
      <c r="BC652" s="3"/>
      <c r="BD652" s="3"/>
      <c r="BE652" s="3"/>
      <c r="BF652" s="3"/>
      <c r="BG652" s="3"/>
      <c r="BH652" s="3"/>
      <c r="BI652" s="3"/>
      <c r="BJ652" s="3"/>
      <c r="BK652" s="3"/>
      <c r="BL652" s="3"/>
      <c r="BM652" s="3"/>
      <c r="DX652" s="1585" t="e">
        <f t="shared" si="4"/>
        <v>#VALUE!</v>
      </c>
      <c r="DY652" s="1585"/>
      <c r="DZ652" s="1585"/>
      <c r="EA652" s="1585"/>
      <c r="EB652" s="1585"/>
      <c r="EC652" s="1585" t="e">
        <f t="shared" si="5"/>
        <v>#VALUE!</v>
      </c>
      <c r="ED652" s="1585"/>
      <c r="EE652" s="1585"/>
      <c r="EF652" s="1585"/>
      <c r="EG652" s="1585"/>
      <c r="EH652" s="1585" t="e">
        <f t="shared" si="6"/>
        <v>#VALUE!</v>
      </c>
      <c r="EI652" s="1585"/>
      <c r="EJ652" s="1585"/>
      <c r="EK652" s="1585"/>
      <c r="EL652" s="1585"/>
      <c r="EM652" s="1585">
        <f t="shared" si="7"/>
        <v>1812.6226415094338</v>
      </c>
      <c r="EN652" s="1585"/>
      <c r="EO652" s="1585"/>
      <c r="EP652" s="1585"/>
      <c r="EQ652" s="1585"/>
      <c r="ER652" s="1585" t="e">
        <f t="shared" si="8"/>
        <v>#VALUE!</v>
      </c>
      <c r="ES652" s="1585"/>
      <c r="ET652" s="1585"/>
      <c r="EU652" s="1585"/>
      <c r="EV652" s="1585"/>
      <c r="EW652" s="1585" t="e">
        <f t="shared" si="9"/>
        <v>#VALUE!</v>
      </c>
      <c r="EX652" s="1585"/>
      <c r="EY652" s="1585"/>
      <c r="EZ652" s="1585"/>
      <c r="FA652" s="1585"/>
    </row>
    <row r="653" spans="1:157" ht="12.9" customHeight="1">
      <c r="A653" s="22"/>
      <c r="B653" t="s">
        <v>578</v>
      </c>
      <c r="G653" s="1539" t="str">
        <f>G578</f>
        <v>Los Angeles CA 90071</v>
      </c>
      <c r="H653" s="1539"/>
      <c r="I653" s="1539"/>
      <c r="J653" s="1539"/>
      <c r="K653" s="1539"/>
      <c r="L653" s="1539"/>
      <c r="M653" s="1539"/>
      <c r="N653" s="1539"/>
      <c r="O653" s="1539"/>
      <c r="P653" s="1539"/>
      <c r="Q653" s="1539"/>
      <c r="R653" s="1539"/>
      <c r="T653" s="22"/>
      <c r="U653" t="s">
        <v>578</v>
      </c>
      <c r="Z653" s="1516" t="str">
        <f>G653</f>
        <v>Los Angeles CA 90071</v>
      </c>
      <c r="AA653" s="1516"/>
      <c r="AB653" s="1516"/>
      <c r="AC653" s="1516"/>
      <c r="AD653" s="1516"/>
      <c r="AE653" s="1516"/>
      <c r="AF653" s="1516"/>
      <c r="AG653" s="1516"/>
      <c r="AH653" s="1516"/>
      <c r="AI653" s="1516"/>
      <c r="AJ653" s="1516"/>
      <c r="AK653" s="1516"/>
      <c r="AV653" s="3"/>
      <c r="AW653" s="3"/>
      <c r="AX653" s="3"/>
      <c r="AY653" s="3"/>
      <c r="AZ653" s="3"/>
      <c r="BA653" s="3"/>
      <c r="BB653" s="3"/>
      <c r="BC653" s="3"/>
      <c r="BD653" s="3"/>
      <c r="BE653" s="3"/>
      <c r="BF653" s="3"/>
      <c r="BG653" s="3"/>
      <c r="BH653" s="3"/>
      <c r="BI653" s="3"/>
      <c r="BJ653" s="3"/>
      <c r="BK653" s="3"/>
      <c r="BL653" s="3"/>
      <c r="BM653" s="3"/>
      <c r="DX653" s="1585" t="e">
        <f t="shared" si="4"/>
        <v>#VALUE!</v>
      </c>
      <c r="DY653" s="1585"/>
      <c r="DZ653" s="1585"/>
      <c r="EA653" s="1585"/>
      <c r="EB653" s="1585"/>
      <c r="EC653" s="1585" t="e">
        <f t="shared" si="5"/>
        <v>#VALUE!</v>
      </c>
      <c r="ED653" s="1585"/>
      <c r="EE653" s="1585"/>
      <c r="EF653" s="1585"/>
      <c r="EG653" s="1585"/>
      <c r="EH653" s="1585" t="e">
        <f t="shared" si="6"/>
        <v>#VALUE!</v>
      </c>
      <c r="EI653" s="1585"/>
      <c r="EJ653" s="1585"/>
      <c r="EK653" s="1585"/>
      <c r="EL653" s="1585"/>
      <c r="EM653" s="1585">
        <f t="shared" si="7"/>
        <v>290.26415094339626</v>
      </c>
      <c r="EN653" s="1585"/>
      <c r="EO653" s="1585"/>
      <c r="EP653" s="1585"/>
      <c r="EQ653" s="1585"/>
      <c r="ER653" s="1585" t="e">
        <f t="shared" si="8"/>
        <v>#VALUE!</v>
      </c>
      <c r="ES653" s="1585"/>
      <c r="ET653" s="1585"/>
      <c r="EU653" s="1585"/>
      <c r="EV653" s="1585"/>
      <c r="EW653" s="1585" t="e">
        <f t="shared" si="9"/>
        <v>#VALUE!</v>
      </c>
      <c r="EX653" s="1585"/>
      <c r="EY653" s="1585"/>
      <c r="EZ653" s="1585"/>
      <c r="FA653" s="1585"/>
    </row>
    <row r="654" spans="1:157" ht="12.9" customHeight="1">
      <c r="A654" s="22"/>
      <c r="B654" t="s">
        <v>17</v>
      </c>
      <c r="G654" s="1539" t="str">
        <f>G579</f>
        <v>Hao Li</v>
      </c>
      <c r="H654" s="1539"/>
      <c r="I654" s="1539"/>
      <c r="J654" s="1539"/>
      <c r="K654" s="1539"/>
      <c r="L654" s="1539"/>
      <c r="M654" s="1539"/>
      <c r="N654" s="1539"/>
      <c r="O654" s="1539"/>
      <c r="P654" s="1539"/>
      <c r="Q654" s="1539"/>
      <c r="R654" s="1539"/>
      <c r="S654" s="8"/>
      <c r="T654" s="22"/>
      <c r="U654" t="s">
        <v>17</v>
      </c>
      <c r="Z654" s="1516" t="str">
        <f>G654</f>
        <v>Hao Li</v>
      </c>
      <c r="AA654" s="1516"/>
      <c r="AB654" s="1516"/>
      <c r="AC654" s="1516"/>
      <c r="AD654" s="1516"/>
      <c r="AE654" s="1516"/>
      <c r="AF654" s="1516"/>
      <c r="AG654" s="1516"/>
      <c r="AH654" s="1516"/>
      <c r="AI654" s="1516"/>
      <c r="AJ654" s="1516"/>
      <c r="AK654" s="1516"/>
      <c r="AZ654" s="3"/>
      <c r="BA654" s="3"/>
      <c r="BB654" s="3"/>
      <c r="BC654" s="3"/>
      <c r="BD654" s="3"/>
      <c r="BE654" s="3"/>
      <c r="BF654" s="3"/>
      <c r="BG654" s="3"/>
      <c r="BH654" s="3"/>
      <c r="BI654" s="3"/>
      <c r="BJ654" s="3"/>
      <c r="BK654" s="3"/>
      <c r="BL654" s="3"/>
      <c r="BM654" s="3"/>
      <c r="DX654" s="1585" t="e">
        <f t="shared" si="4"/>
        <v>#VALUE!</v>
      </c>
      <c r="DY654" s="1585"/>
      <c r="DZ654" s="1585"/>
      <c r="EA654" s="1585"/>
      <c r="EB654" s="1585"/>
      <c r="EC654" s="1585" t="e">
        <f t="shared" si="5"/>
        <v>#VALUE!</v>
      </c>
      <c r="ED654" s="1585"/>
      <c r="EE654" s="1585"/>
      <c r="EF654" s="1585"/>
      <c r="EG654" s="1585"/>
      <c r="EH654" s="1585" t="e">
        <f t="shared" si="6"/>
        <v>#VALUE!</v>
      </c>
      <c r="EI654" s="1585"/>
      <c r="EJ654" s="1585"/>
      <c r="EK654" s="1585"/>
      <c r="EL654" s="1585"/>
      <c r="EM654" s="1585">
        <f t="shared" si="7"/>
        <v>169.35849056603774</v>
      </c>
      <c r="EN654" s="1585"/>
      <c r="EO654" s="1585"/>
      <c r="EP654" s="1585"/>
      <c r="EQ654" s="1585"/>
      <c r="ER654" s="1585" t="e">
        <f t="shared" si="8"/>
        <v>#VALUE!</v>
      </c>
      <c r="ES654" s="1585"/>
      <c r="ET654" s="1585"/>
      <c r="EU654" s="1585"/>
      <c r="EV654" s="1585"/>
      <c r="EW654" s="1585" t="e">
        <f t="shared" si="9"/>
        <v>#VALUE!</v>
      </c>
      <c r="EX654" s="1585"/>
      <c r="EY654" s="1585"/>
      <c r="EZ654" s="1585"/>
      <c r="FA654" s="1585"/>
    </row>
    <row r="655" spans="1:157" ht="12.9" customHeight="1">
      <c r="A655" s="22"/>
      <c r="B655" t="s">
        <v>316</v>
      </c>
      <c r="G655" s="1517" t="str">
        <f>G589</f>
        <v>213-239-1914</v>
      </c>
      <c r="H655" s="1517"/>
      <c r="I655" s="1517"/>
      <c r="J655" s="1517"/>
      <c r="K655" s="1517"/>
      <c r="L655" s="1517"/>
      <c r="O655" s="33" t="s">
        <v>206</v>
      </c>
      <c r="P655" s="1543"/>
      <c r="Q655" s="1543"/>
      <c r="R655" s="1543"/>
      <c r="S655" s="10"/>
      <c r="T655" s="22"/>
      <c r="U655" t="s">
        <v>316</v>
      </c>
      <c r="Z655" s="1517" t="str">
        <f>G655</f>
        <v>213-239-1914</v>
      </c>
      <c r="AA655" s="1517"/>
      <c r="AB655" s="1517"/>
      <c r="AC655" s="1517"/>
      <c r="AD655" s="1517"/>
      <c r="AE655" s="1517"/>
      <c r="AH655" s="33" t="s">
        <v>206</v>
      </c>
      <c r="AI655" s="1543"/>
      <c r="AJ655" s="1543"/>
      <c r="AK655" s="1543"/>
      <c r="AZ655" s="34"/>
      <c r="BA655" s="34"/>
      <c r="BB655" s="34"/>
      <c r="BC655" s="34"/>
      <c r="BD655" s="34"/>
      <c r="BE655" s="34"/>
      <c r="BF655" s="34"/>
      <c r="BG655" s="34"/>
      <c r="BH655" s="34"/>
      <c r="BI655" s="34"/>
      <c r="BJ655" s="34"/>
      <c r="BK655" s="34"/>
      <c r="BL655" s="34"/>
      <c r="BM655" s="34"/>
      <c r="DX655" s="1585" t="e">
        <f t="shared" si="4"/>
        <v>#VALUE!</v>
      </c>
      <c r="DY655" s="1585"/>
      <c r="DZ655" s="1585"/>
      <c r="EA655" s="1585"/>
      <c r="EB655" s="1585"/>
      <c r="EC655" s="1585" t="e">
        <f t="shared" si="5"/>
        <v>#VALUE!</v>
      </c>
      <c r="ED655" s="1585"/>
      <c r="EE655" s="1585"/>
      <c r="EF655" s="1585"/>
      <c r="EG655" s="1585"/>
      <c r="EH655" s="1585" t="e">
        <f t="shared" si="6"/>
        <v>#VALUE!</v>
      </c>
      <c r="EI655" s="1585"/>
      <c r="EJ655" s="1585"/>
      <c r="EK655" s="1585"/>
      <c r="EL655" s="1585"/>
      <c r="EM655" s="1585" t="e">
        <f t="shared" si="7"/>
        <v>#VALUE!</v>
      </c>
      <c r="EN655" s="1585"/>
      <c r="EO655" s="1585"/>
      <c r="EP655" s="1585"/>
      <c r="EQ655" s="1585"/>
      <c r="ER655" s="1585" t="e">
        <f t="shared" si="8"/>
        <v>#VALUE!</v>
      </c>
      <c r="ES655" s="1585"/>
      <c r="ET655" s="1585"/>
      <c r="EU655" s="1585"/>
      <c r="EV655" s="1585"/>
      <c r="EW655" s="1585" t="e">
        <f t="shared" si="9"/>
        <v>#VALUE!</v>
      </c>
      <c r="EX655" s="1585"/>
      <c r="EY655" s="1585"/>
      <c r="EZ655" s="1585"/>
      <c r="FA655" s="1585"/>
    </row>
    <row r="656" spans="1:157" ht="12.9" customHeight="1">
      <c r="A656" s="22"/>
      <c r="B656" t="s">
        <v>18</v>
      </c>
      <c r="H656" s="1539" t="str">
        <f>M635</f>
        <v>Loan, Tax-Exempt</v>
      </c>
      <c r="I656" s="1539"/>
      <c r="J656" s="1539"/>
      <c r="K656" s="1539"/>
      <c r="L656" s="1539"/>
      <c r="M656" s="1539"/>
      <c r="N656" s="1539"/>
      <c r="O656" s="1539"/>
      <c r="P656" s="1539"/>
      <c r="Q656" s="1539"/>
      <c r="R656" s="1539"/>
      <c r="S656" s="8"/>
      <c r="T656" s="22"/>
      <c r="U656" t="s">
        <v>18</v>
      </c>
      <c r="AA656" s="1539" t="s">
        <v>2066</v>
      </c>
      <c r="AB656" s="1539"/>
      <c r="AC656" s="1539"/>
      <c r="AD656" s="1539"/>
      <c r="AE656" s="1539"/>
      <c r="AF656" s="1539"/>
      <c r="AG656" s="1539"/>
      <c r="AH656" s="1539"/>
      <c r="AI656" s="1539"/>
      <c r="AJ656" s="1539"/>
      <c r="AK656" s="1539"/>
      <c r="AZ656" s="34"/>
      <c r="BA656" s="34"/>
      <c r="BB656" s="34"/>
      <c r="BC656" s="34"/>
      <c r="BD656" s="34"/>
      <c r="BE656" s="34"/>
      <c r="BF656" s="34"/>
      <c r="BG656" s="34"/>
      <c r="BH656" s="34"/>
      <c r="BI656" s="34"/>
      <c r="BJ656" s="34"/>
      <c r="BK656" s="34"/>
      <c r="BL656" s="34"/>
      <c r="BM656" s="34"/>
      <c r="DX656" s="1585" t="e">
        <f t="shared" si="4"/>
        <v>#VALUE!</v>
      </c>
      <c r="DY656" s="1585"/>
      <c r="DZ656" s="1585"/>
      <c r="EA656" s="1585"/>
      <c r="EB656" s="1585"/>
      <c r="EC656" s="1585" t="e">
        <f t="shared" si="5"/>
        <v>#VALUE!</v>
      </c>
      <c r="ED656" s="1585"/>
      <c r="EE656" s="1585"/>
      <c r="EF656" s="1585"/>
      <c r="EG656" s="1585"/>
      <c r="EH656" s="1585" t="e">
        <f t="shared" si="6"/>
        <v>#VALUE!</v>
      </c>
      <c r="EI656" s="1585"/>
      <c r="EJ656" s="1585"/>
      <c r="EK656" s="1585"/>
      <c r="EL656" s="1585"/>
      <c r="EM656" s="1585" t="e">
        <f t="shared" si="7"/>
        <v>#VALUE!</v>
      </c>
      <c r="EN656" s="1585"/>
      <c r="EO656" s="1585"/>
      <c r="EP656" s="1585"/>
      <c r="EQ656" s="1585"/>
      <c r="ER656" s="1585" t="e">
        <f t="shared" si="8"/>
        <v>#VALUE!</v>
      </c>
      <c r="ES656" s="1585"/>
      <c r="ET656" s="1585"/>
      <c r="EU656" s="1585"/>
      <c r="EV656" s="1585"/>
      <c r="EW656" s="1585" t="e">
        <f t="shared" si="9"/>
        <v>#VALUE!</v>
      </c>
      <c r="EX656" s="1585"/>
      <c r="EY656" s="1585"/>
      <c r="EZ656" s="1585"/>
      <c r="FA656" s="1585"/>
    </row>
    <row r="657" spans="1:157" ht="12.9" customHeight="1">
      <c r="A657" s="22"/>
      <c r="B657" t="s">
        <v>20</v>
      </c>
      <c r="N657" s="1424" t="s">
        <v>543</v>
      </c>
      <c r="O657" s="1424"/>
      <c r="T657" s="22"/>
      <c r="U657" t="s">
        <v>20</v>
      </c>
      <c r="AG657" s="1424" t="s">
        <v>543</v>
      </c>
      <c r="AH657" s="1424"/>
      <c r="AZ657" s="34"/>
      <c r="BA657" s="34"/>
      <c r="BB657" s="34"/>
      <c r="BC657" s="34"/>
      <c r="BD657" s="34"/>
      <c r="BE657" s="34"/>
      <c r="BF657" s="34"/>
      <c r="BG657" s="34"/>
      <c r="BH657" s="34"/>
      <c r="BI657" s="34"/>
      <c r="BJ657" s="34"/>
      <c r="BK657" s="34"/>
      <c r="BL657" s="34"/>
      <c r="BM657" s="34"/>
      <c r="DX657" s="1585" t="e">
        <f t="shared" si="4"/>
        <v>#VALUE!</v>
      </c>
      <c r="DY657" s="1585"/>
      <c r="DZ657" s="1585"/>
      <c r="EA657" s="1585"/>
      <c r="EB657" s="1585"/>
      <c r="EC657" s="1585" t="e">
        <f t="shared" si="5"/>
        <v>#VALUE!</v>
      </c>
      <c r="ED657" s="1585"/>
      <c r="EE657" s="1585"/>
      <c r="EF657" s="1585"/>
      <c r="EG657" s="1585"/>
      <c r="EH657" s="1585" t="e">
        <f t="shared" si="6"/>
        <v>#VALUE!</v>
      </c>
      <c r="EI657" s="1585"/>
      <c r="EJ657" s="1585"/>
      <c r="EK657" s="1585"/>
      <c r="EL657" s="1585"/>
      <c r="EM657" s="1585" t="e">
        <f t="shared" si="7"/>
        <v>#VALUE!</v>
      </c>
      <c r="EN657" s="1585"/>
      <c r="EO657" s="1585"/>
      <c r="EP657" s="1585"/>
      <c r="EQ657" s="1585"/>
      <c r="ER657" s="1585" t="e">
        <f t="shared" si="8"/>
        <v>#VALUE!</v>
      </c>
      <c r="ES657" s="1585"/>
      <c r="ET657" s="1585"/>
      <c r="EU657" s="1585"/>
      <c r="EV657" s="1585"/>
      <c r="EW657" s="1585" t="e">
        <f t="shared" si="9"/>
        <v>#VALUE!</v>
      </c>
      <c r="EX657" s="1585"/>
      <c r="EY657" s="1585"/>
      <c r="EZ657" s="1585"/>
      <c r="FA657" s="1585"/>
    </row>
    <row r="658" spans="1:157" ht="12.9" customHeight="1">
      <c r="A658" s="22"/>
      <c r="T658" s="22"/>
      <c r="AZ658" s="34"/>
      <c r="BA658" s="34"/>
      <c r="BB658" s="34"/>
      <c r="BC658" s="34"/>
      <c r="BD658" s="34"/>
      <c r="BE658" s="34"/>
      <c r="BF658" s="34"/>
      <c r="BG658" s="34"/>
      <c r="BH658" s="34"/>
      <c r="BI658" s="34"/>
      <c r="BJ658" s="34"/>
      <c r="BK658" s="34"/>
      <c r="BL658" s="34"/>
      <c r="BM658" s="34"/>
      <c r="DX658" s="1585" t="e">
        <f t="shared" si="4"/>
        <v>#VALUE!</v>
      </c>
      <c r="DY658" s="1585"/>
      <c r="DZ658" s="1585"/>
      <c r="EA658" s="1585"/>
      <c r="EB658" s="1585"/>
      <c r="EC658" s="1585" t="e">
        <f t="shared" si="5"/>
        <v>#VALUE!</v>
      </c>
      <c r="ED658" s="1585"/>
      <c r="EE658" s="1585"/>
      <c r="EF658" s="1585"/>
      <c r="EG658" s="1585"/>
      <c r="EH658" s="1585" t="e">
        <f t="shared" si="6"/>
        <v>#VALUE!</v>
      </c>
      <c r="EI658" s="1585"/>
      <c r="EJ658" s="1585"/>
      <c r="EK658" s="1585"/>
      <c r="EL658" s="1585"/>
      <c r="EM658" s="1585" t="e">
        <f t="shared" si="7"/>
        <v>#VALUE!</v>
      </c>
      <c r="EN658" s="1585"/>
      <c r="EO658" s="1585"/>
      <c r="EP658" s="1585"/>
      <c r="EQ658" s="1585"/>
      <c r="ER658" s="1585" t="e">
        <f t="shared" si="8"/>
        <v>#VALUE!</v>
      </c>
      <c r="ES658" s="1585"/>
      <c r="ET658" s="1585"/>
      <c r="EU658" s="1585"/>
      <c r="EV658" s="1585"/>
      <c r="EW658" s="1585" t="e">
        <f t="shared" si="9"/>
        <v>#VALUE!</v>
      </c>
      <c r="EX658" s="1585"/>
      <c r="EY658" s="1585"/>
      <c r="EZ658" s="1585"/>
      <c r="FA658" s="1585"/>
    </row>
    <row r="659" spans="1:157" ht="12.9" customHeight="1">
      <c r="A659" s="55" t="s">
        <v>119</v>
      </c>
      <c r="B659" t="s">
        <v>461</v>
      </c>
      <c r="G659" s="1512" t="str">
        <f>C637</f>
        <v>Stifel, Nicolaus and Company</v>
      </c>
      <c r="H659" s="1512"/>
      <c r="I659" s="1512"/>
      <c r="J659" s="1512"/>
      <c r="K659" s="1512"/>
      <c r="L659" s="1512"/>
      <c r="M659" s="1512"/>
      <c r="N659" s="1512"/>
      <c r="O659" s="1512"/>
      <c r="P659" s="1512"/>
      <c r="Q659" s="1512"/>
      <c r="R659" s="1512"/>
      <c r="T659" s="55" t="s">
        <v>579</v>
      </c>
      <c r="U659" t="s">
        <v>461</v>
      </c>
      <c r="Z659" s="1512" t="str">
        <f>C638</f>
        <v>Safehold Inc.</v>
      </c>
      <c r="AA659" s="1512"/>
      <c r="AB659" s="1512"/>
      <c r="AC659" s="1512"/>
      <c r="AD659" s="1512"/>
      <c r="AE659" s="1512"/>
      <c r="AF659" s="1512"/>
      <c r="AG659" s="1512"/>
      <c r="AH659" s="1512"/>
      <c r="AI659" s="1512"/>
      <c r="AJ659" s="1512"/>
      <c r="AK659" s="1512"/>
      <c r="AZ659" s="34"/>
      <c r="BA659" s="34"/>
      <c r="BB659" s="34"/>
      <c r="BC659" s="34"/>
      <c r="BD659" s="34"/>
      <c r="BE659" s="34"/>
      <c r="BF659" s="34"/>
      <c r="BG659" s="34"/>
      <c r="BH659" s="34"/>
      <c r="BI659" s="34"/>
      <c r="BJ659" s="34"/>
      <c r="BK659" s="34"/>
      <c r="BL659" s="34"/>
      <c r="BM659" s="34"/>
      <c r="DX659" s="1585" t="e">
        <f t="shared" si="4"/>
        <v>#VALUE!</v>
      </c>
      <c r="DY659" s="1585"/>
      <c r="DZ659" s="1585"/>
      <c r="EA659" s="1585"/>
      <c r="EB659" s="1585"/>
      <c r="EC659" s="1585" t="e">
        <f t="shared" si="5"/>
        <v>#VALUE!</v>
      </c>
      <c r="ED659" s="1585"/>
      <c r="EE659" s="1585"/>
      <c r="EF659" s="1585"/>
      <c r="EG659" s="1585"/>
      <c r="EH659" s="1585" t="e">
        <f t="shared" si="6"/>
        <v>#VALUE!</v>
      </c>
      <c r="EI659" s="1585"/>
      <c r="EJ659" s="1585"/>
      <c r="EK659" s="1585"/>
      <c r="EL659" s="1585"/>
      <c r="EM659" s="1585" t="e">
        <f t="shared" si="7"/>
        <v>#VALUE!</v>
      </c>
      <c r="EN659" s="1585"/>
      <c r="EO659" s="1585"/>
      <c r="EP659" s="1585"/>
      <c r="EQ659" s="1585"/>
      <c r="ER659" s="1585" t="e">
        <f t="shared" si="8"/>
        <v>#VALUE!</v>
      </c>
      <c r="ES659" s="1585"/>
      <c r="ET659" s="1585"/>
      <c r="EU659" s="1585"/>
      <c r="EV659" s="1585"/>
      <c r="EW659" s="1585" t="e">
        <f t="shared" si="9"/>
        <v>#VALUE!</v>
      </c>
      <c r="EX659" s="1585"/>
      <c r="EY659" s="1585"/>
      <c r="EZ659" s="1585"/>
      <c r="FA659" s="1585"/>
    </row>
    <row r="660" spans="1:157" ht="12.9" customHeight="1">
      <c r="A660" s="22"/>
      <c r="B660" t="s">
        <v>85</v>
      </c>
      <c r="G660" s="1539" t="s">
        <v>2830</v>
      </c>
      <c r="H660" s="1539"/>
      <c r="I660" s="1539"/>
      <c r="J660" s="1539"/>
      <c r="K660" s="1539"/>
      <c r="L660" s="1539"/>
      <c r="M660" s="1539"/>
      <c r="N660" s="1539"/>
      <c r="O660" s="1539"/>
      <c r="P660" s="1539"/>
      <c r="Q660" s="1539"/>
      <c r="R660" s="1539"/>
      <c r="T660" s="22"/>
      <c r="U660" t="s">
        <v>85</v>
      </c>
      <c r="Z660" s="1539" t="str">
        <f>G594</f>
        <v>1114 Avenue of Americas</v>
      </c>
      <c r="AA660" s="1539"/>
      <c r="AB660" s="1539"/>
      <c r="AC660" s="1539"/>
      <c r="AD660" s="1539"/>
      <c r="AE660" s="1539"/>
      <c r="AF660" s="1539"/>
      <c r="AG660" s="1539"/>
      <c r="AH660" s="1539"/>
      <c r="AI660" s="1539"/>
      <c r="AJ660" s="1539"/>
      <c r="AK660" s="1539"/>
      <c r="AZ660" s="34"/>
      <c r="BA660" s="34"/>
      <c r="BB660" s="34"/>
      <c r="BC660" s="34"/>
      <c r="BD660" s="34"/>
      <c r="BE660" s="34"/>
      <c r="BF660" s="34"/>
      <c r="BG660" s="34"/>
      <c r="BH660" s="34"/>
      <c r="BI660" s="34"/>
      <c r="BJ660" s="34"/>
      <c r="BK660" s="34"/>
      <c r="BL660" s="34"/>
      <c r="BM660" s="34"/>
      <c r="DX660" s="1585" t="e">
        <f t="shared" si="4"/>
        <v>#VALUE!</v>
      </c>
      <c r="DY660" s="1585"/>
      <c r="DZ660" s="1585"/>
      <c r="EA660" s="1585"/>
      <c r="EB660" s="1585"/>
      <c r="EC660" s="1585" t="e">
        <f t="shared" si="5"/>
        <v>#VALUE!</v>
      </c>
      <c r="ED660" s="1585"/>
      <c r="EE660" s="1585"/>
      <c r="EF660" s="1585"/>
      <c r="EG660" s="1585"/>
      <c r="EH660" s="1585" t="e">
        <f t="shared" si="6"/>
        <v>#VALUE!</v>
      </c>
      <c r="EI660" s="1585"/>
      <c r="EJ660" s="1585"/>
      <c r="EK660" s="1585"/>
      <c r="EL660" s="1585"/>
      <c r="EM660" s="1585" t="e">
        <f t="shared" si="7"/>
        <v>#VALUE!</v>
      </c>
      <c r="EN660" s="1585"/>
      <c r="EO660" s="1585"/>
      <c r="EP660" s="1585"/>
      <c r="EQ660" s="1585"/>
      <c r="ER660" s="1585" t="e">
        <f t="shared" si="8"/>
        <v>#VALUE!</v>
      </c>
      <c r="ES660" s="1585"/>
      <c r="ET660" s="1585"/>
      <c r="EU660" s="1585"/>
      <c r="EV660" s="1585"/>
      <c r="EW660" s="1585" t="e">
        <f t="shared" si="9"/>
        <v>#VALUE!</v>
      </c>
      <c r="EX660" s="1585"/>
      <c r="EY660" s="1585"/>
      <c r="EZ660" s="1585"/>
      <c r="FA660" s="1585"/>
    </row>
    <row r="661" spans="1:157" ht="12.9" customHeight="1">
      <c r="A661" s="22"/>
      <c r="B661" t="s">
        <v>578</v>
      </c>
      <c r="G661" s="1516" t="s">
        <v>2831</v>
      </c>
      <c r="H661" s="1516"/>
      <c r="I661" s="1516"/>
      <c r="J661" s="1516"/>
      <c r="K661" s="1516"/>
      <c r="L661" s="1516"/>
      <c r="M661" s="1516"/>
      <c r="N661" s="1516"/>
      <c r="O661" s="1516"/>
      <c r="P661" s="1516"/>
      <c r="Q661" s="1516"/>
      <c r="R661" s="1516"/>
      <c r="T661" s="22"/>
      <c r="U661" t="s">
        <v>578</v>
      </c>
      <c r="Z661" s="1516" t="str">
        <f>G595</f>
        <v>New York NY 10036</v>
      </c>
      <c r="AA661" s="1516"/>
      <c r="AB661" s="1516"/>
      <c r="AC661" s="1516"/>
      <c r="AD661" s="1516"/>
      <c r="AE661" s="1516"/>
      <c r="AF661" s="1516"/>
      <c r="AG661" s="1516"/>
      <c r="AH661" s="1516"/>
      <c r="AI661" s="1516"/>
      <c r="AJ661" s="1516"/>
      <c r="AK661" s="1516"/>
      <c r="AZ661" s="34"/>
      <c r="BA661" s="34"/>
      <c r="BB661" s="34"/>
      <c r="BC661" s="34"/>
      <c r="BD661" s="34"/>
      <c r="BE661" s="34"/>
      <c r="BF661" s="34"/>
      <c r="BG661" s="34"/>
      <c r="BH661" s="34"/>
      <c r="BI661" s="34"/>
      <c r="BJ661" s="34"/>
      <c r="BK661" s="34"/>
      <c r="BL661" s="34"/>
      <c r="BM661" s="34"/>
      <c r="DX661" s="1585" t="e">
        <f t="shared" si="4"/>
        <v>#VALUE!</v>
      </c>
      <c r="DY661" s="1585"/>
      <c r="DZ661" s="1585"/>
      <c r="EA661" s="1585"/>
      <c r="EB661" s="1585"/>
      <c r="EC661" s="1585" t="e">
        <f t="shared" si="5"/>
        <v>#VALUE!</v>
      </c>
      <c r="ED661" s="1585"/>
      <c r="EE661" s="1585"/>
      <c r="EF661" s="1585"/>
      <c r="EG661" s="1585"/>
      <c r="EH661" s="1585" t="e">
        <f t="shared" si="6"/>
        <v>#VALUE!</v>
      </c>
      <c r="EI661" s="1585"/>
      <c r="EJ661" s="1585"/>
      <c r="EK661" s="1585"/>
      <c r="EL661" s="1585"/>
      <c r="EM661" s="1585" t="e">
        <f t="shared" si="7"/>
        <v>#VALUE!</v>
      </c>
      <c r="EN661" s="1585"/>
      <c r="EO661" s="1585"/>
      <c r="EP661" s="1585"/>
      <c r="EQ661" s="1585"/>
      <c r="ER661" s="1585" t="e">
        <f t="shared" si="8"/>
        <v>#VALUE!</v>
      </c>
      <c r="ES661" s="1585"/>
      <c r="ET661" s="1585"/>
      <c r="EU661" s="1585"/>
      <c r="EV661" s="1585"/>
      <c r="EW661" s="1585" t="e">
        <f t="shared" si="9"/>
        <v>#VALUE!</v>
      </c>
      <c r="EX661" s="1585"/>
      <c r="EY661" s="1585"/>
      <c r="EZ661" s="1585"/>
      <c r="FA661" s="1585"/>
    </row>
    <row r="662" spans="1:157" ht="12.9" customHeight="1">
      <c r="A662" s="22"/>
      <c r="B662" t="s">
        <v>17</v>
      </c>
      <c r="G662" s="1516" t="s">
        <v>2832</v>
      </c>
      <c r="H662" s="1516"/>
      <c r="I662" s="1516"/>
      <c r="J662" s="1516"/>
      <c r="K662" s="1516"/>
      <c r="L662" s="1516"/>
      <c r="M662" s="1516"/>
      <c r="N662" s="1516"/>
      <c r="O662" s="1516"/>
      <c r="P662" s="1516"/>
      <c r="Q662" s="1516"/>
      <c r="R662" s="1516"/>
      <c r="T662" s="22"/>
      <c r="U662" t="s">
        <v>17</v>
      </c>
      <c r="Z662" s="1516" t="str">
        <f>G596</f>
        <v>Steve Wydler</v>
      </c>
      <c r="AA662" s="1516"/>
      <c r="AB662" s="1516"/>
      <c r="AC662" s="1516"/>
      <c r="AD662" s="1516"/>
      <c r="AE662" s="1516"/>
      <c r="AF662" s="1516"/>
      <c r="AG662" s="1516"/>
      <c r="AH662" s="1516"/>
      <c r="AI662" s="1516"/>
      <c r="AJ662" s="1516"/>
      <c r="AK662" s="1516"/>
      <c r="AZ662" s="34"/>
      <c r="BA662" s="34"/>
      <c r="BB662" s="34"/>
      <c r="BC662" s="34"/>
      <c r="BD662" s="34"/>
      <c r="BE662" s="34"/>
      <c r="BF662" s="34"/>
      <c r="BG662" s="34"/>
      <c r="BH662" s="34"/>
      <c r="BI662" s="34"/>
      <c r="BJ662" s="34"/>
      <c r="BK662" s="34"/>
      <c r="BL662" s="34"/>
      <c r="BM662" s="34"/>
      <c r="DX662" s="1585" t="e">
        <f t="shared" si="4"/>
        <v>#VALUE!</v>
      </c>
      <c r="DY662" s="1585"/>
      <c r="DZ662" s="1585"/>
      <c r="EA662" s="1585"/>
      <c r="EB662" s="1585"/>
      <c r="EC662" s="1585" t="e">
        <f t="shared" si="5"/>
        <v>#VALUE!</v>
      </c>
      <c r="ED662" s="1585"/>
      <c r="EE662" s="1585"/>
      <c r="EF662" s="1585"/>
      <c r="EG662" s="1585"/>
      <c r="EH662" s="1585" t="e">
        <f t="shared" si="6"/>
        <v>#VALUE!</v>
      </c>
      <c r="EI662" s="1585"/>
      <c r="EJ662" s="1585"/>
      <c r="EK662" s="1585"/>
      <c r="EL662" s="1585"/>
      <c r="EM662" s="1585" t="e">
        <f t="shared" si="7"/>
        <v>#VALUE!</v>
      </c>
      <c r="EN662" s="1585"/>
      <c r="EO662" s="1585"/>
      <c r="EP662" s="1585"/>
      <c r="EQ662" s="1585"/>
      <c r="ER662" s="1585" t="e">
        <f t="shared" si="8"/>
        <v>#VALUE!</v>
      </c>
      <c r="ES662" s="1585"/>
      <c r="ET662" s="1585"/>
      <c r="EU662" s="1585"/>
      <c r="EV662" s="1585"/>
      <c r="EW662" s="1585" t="e">
        <f t="shared" si="9"/>
        <v>#VALUE!</v>
      </c>
      <c r="EX662" s="1585"/>
      <c r="EY662" s="1585"/>
      <c r="EZ662" s="1585"/>
      <c r="FA662" s="1585"/>
    </row>
    <row r="663" spans="1:157" ht="12.9" customHeight="1">
      <c r="A663" s="22"/>
      <c r="B663" t="s">
        <v>316</v>
      </c>
      <c r="G663" s="1517" t="s">
        <v>2833</v>
      </c>
      <c r="H663" s="1517"/>
      <c r="I663" s="1517"/>
      <c r="J663" s="1517"/>
      <c r="K663" s="1517"/>
      <c r="L663" s="1517"/>
      <c r="O663" s="33" t="s">
        <v>206</v>
      </c>
      <c r="P663" s="1543"/>
      <c r="Q663" s="1543"/>
      <c r="R663" s="1543"/>
      <c r="T663" s="22"/>
      <c r="U663" t="s">
        <v>316</v>
      </c>
      <c r="Z663" s="1517" t="str">
        <f>G597</f>
        <v>310-315-5566</v>
      </c>
      <c r="AA663" s="1517"/>
      <c r="AB663" s="1517"/>
      <c r="AC663" s="1517"/>
      <c r="AD663" s="1517"/>
      <c r="AE663" s="1517"/>
      <c r="AH663" s="33" t="s">
        <v>206</v>
      </c>
      <c r="AI663" s="1543"/>
      <c r="AJ663" s="1543"/>
      <c r="AK663" s="1543"/>
      <c r="AZ663" s="34"/>
      <c r="BA663" s="34"/>
      <c r="BB663" s="34"/>
      <c r="BC663" s="34"/>
      <c r="BD663" s="34"/>
      <c r="BE663" s="34"/>
      <c r="BF663" s="34"/>
      <c r="BG663" s="34"/>
      <c r="BH663" s="34"/>
      <c r="BI663" s="34"/>
      <c r="BJ663" s="34"/>
      <c r="BK663" s="34"/>
      <c r="BL663" s="34"/>
      <c r="BM663" s="34"/>
      <c r="DX663" s="1585" t="e">
        <f t="shared" si="4"/>
        <v>#VALUE!</v>
      </c>
      <c r="DY663" s="1585"/>
      <c r="DZ663" s="1585"/>
      <c r="EA663" s="1585"/>
      <c r="EB663" s="1585"/>
      <c r="EC663" s="1585" t="e">
        <f t="shared" si="5"/>
        <v>#VALUE!</v>
      </c>
      <c r="ED663" s="1585"/>
      <c r="EE663" s="1585"/>
      <c r="EF663" s="1585"/>
      <c r="EG663" s="1585"/>
      <c r="EH663" s="1585" t="e">
        <f t="shared" si="6"/>
        <v>#VALUE!</v>
      </c>
      <c r="EI663" s="1585"/>
      <c r="EJ663" s="1585"/>
      <c r="EK663" s="1585"/>
      <c r="EL663" s="1585"/>
      <c r="EM663" s="1585" t="e">
        <f t="shared" si="7"/>
        <v>#VALUE!</v>
      </c>
      <c r="EN663" s="1585"/>
      <c r="EO663" s="1585"/>
      <c r="EP663" s="1585"/>
      <c r="EQ663" s="1585"/>
      <c r="ER663" s="1585" t="e">
        <f t="shared" si="8"/>
        <v>#VALUE!</v>
      </c>
      <c r="ES663" s="1585"/>
      <c r="ET663" s="1585"/>
      <c r="EU663" s="1585"/>
      <c r="EV663" s="1585"/>
      <c r="EW663" s="1585" t="e">
        <f t="shared" si="9"/>
        <v>#VALUE!</v>
      </c>
      <c r="EX663" s="1585"/>
      <c r="EY663" s="1585"/>
      <c r="EZ663" s="1585"/>
      <c r="FA663" s="1585"/>
    </row>
    <row r="664" spans="1:157" ht="12.9" customHeight="1">
      <c r="A664" s="22"/>
      <c r="B664" t="s">
        <v>18</v>
      </c>
      <c r="H664" s="1539" t="s">
        <v>2773</v>
      </c>
      <c r="I664" s="1539"/>
      <c r="J664" s="1539"/>
      <c r="K664" s="1539"/>
      <c r="L664" s="1539"/>
      <c r="M664" s="1539"/>
      <c r="N664" s="1539"/>
      <c r="O664" s="1539"/>
      <c r="P664" s="1539"/>
      <c r="Q664" s="1539"/>
      <c r="R664" s="1539"/>
      <c r="T664" s="22"/>
      <c r="U664" t="s">
        <v>18</v>
      </c>
      <c r="AA664" s="1539" t="s">
        <v>2070</v>
      </c>
      <c r="AB664" s="1539"/>
      <c r="AC664" s="1539"/>
      <c r="AD664" s="1539"/>
      <c r="AE664" s="1539"/>
      <c r="AF664" s="1539"/>
      <c r="AG664" s="1539"/>
      <c r="AH664" s="1539"/>
      <c r="AI664" s="1539"/>
      <c r="AJ664" s="1539"/>
      <c r="AK664" s="1539"/>
      <c r="AZ664" s="34"/>
      <c r="BA664" s="34"/>
      <c r="BB664" s="34"/>
      <c r="BC664" s="34"/>
      <c r="BD664" s="34"/>
      <c r="BE664" s="34"/>
      <c r="BF664" s="34"/>
      <c r="BG664" s="34"/>
      <c r="BH664" s="34"/>
      <c r="BI664" s="34"/>
      <c r="BJ664" s="34"/>
      <c r="BK664" s="34"/>
      <c r="BL664" s="34"/>
      <c r="BM664" s="34"/>
      <c r="DX664" s="1585" t="e">
        <f t="shared" si="4"/>
        <v>#VALUE!</v>
      </c>
      <c r="DY664" s="1585"/>
      <c r="DZ664" s="1585"/>
      <c r="EA664" s="1585"/>
      <c r="EB664" s="1585"/>
      <c r="EC664" s="1585" t="e">
        <f t="shared" si="5"/>
        <v>#VALUE!</v>
      </c>
      <c r="ED664" s="1585"/>
      <c r="EE664" s="1585"/>
      <c r="EF664" s="1585"/>
      <c r="EG664" s="1585"/>
      <c r="EH664" s="1585" t="e">
        <f t="shared" si="6"/>
        <v>#VALUE!</v>
      </c>
      <c r="EI664" s="1585"/>
      <c r="EJ664" s="1585"/>
      <c r="EK664" s="1585"/>
      <c r="EL664" s="1585"/>
      <c r="EM664" s="1585" t="e">
        <f t="shared" si="7"/>
        <v>#VALUE!</v>
      </c>
      <c r="EN664" s="1585"/>
      <c r="EO664" s="1585"/>
      <c r="EP664" s="1585"/>
      <c r="EQ664" s="1585"/>
      <c r="ER664" s="1585" t="e">
        <f t="shared" si="8"/>
        <v>#VALUE!</v>
      </c>
      <c r="ES664" s="1585"/>
      <c r="ET664" s="1585"/>
      <c r="EU664" s="1585"/>
      <c r="EV664" s="1585"/>
      <c r="EW664" s="1585" t="e">
        <f t="shared" si="9"/>
        <v>#VALUE!</v>
      </c>
      <c r="EX664" s="1585"/>
      <c r="EY664" s="1585"/>
      <c r="EZ664" s="1585"/>
      <c r="FA664" s="1585"/>
    </row>
    <row r="665" spans="1:157" ht="12.9" customHeight="1">
      <c r="A665" s="22"/>
      <c r="B665" t="s">
        <v>20</v>
      </c>
      <c r="N665" s="1424" t="s">
        <v>543</v>
      </c>
      <c r="O665" s="1424"/>
      <c r="T665" s="22"/>
      <c r="U665" t="s">
        <v>20</v>
      </c>
      <c r="AG665" s="1424" t="s">
        <v>543</v>
      </c>
      <c r="AH665" s="1424"/>
      <c r="AZ665" s="34"/>
      <c r="BA665" s="34"/>
      <c r="BB665" s="34"/>
      <c r="BC665" s="34"/>
      <c r="BD665" s="34"/>
      <c r="BE665" s="34"/>
      <c r="BF665" s="34"/>
      <c r="BG665" s="34"/>
      <c r="BH665" s="34"/>
      <c r="BI665" s="34"/>
      <c r="BJ665" s="34"/>
      <c r="BK665" s="34"/>
      <c r="BL665" s="34"/>
      <c r="BM665" s="34"/>
      <c r="DX665" s="1585" t="e">
        <f t="shared" si="4"/>
        <v>#VALUE!</v>
      </c>
      <c r="DY665" s="1585"/>
      <c r="DZ665" s="1585"/>
      <c r="EA665" s="1585"/>
      <c r="EB665" s="1585"/>
      <c r="EC665" s="1585" t="e">
        <f t="shared" si="5"/>
        <v>#VALUE!</v>
      </c>
      <c r="ED665" s="1585"/>
      <c r="EE665" s="1585"/>
      <c r="EF665" s="1585"/>
      <c r="EG665" s="1585"/>
      <c r="EH665" s="1585" t="e">
        <f t="shared" si="6"/>
        <v>#VALUE!</v>
      </c>
      <c r="EI665" s="1585"/>
      <c r="EJ665" s="1585"/>
      <c r="EK665" s="1585"/>
      <c r="EL665" s="1585"/>
      <c r="EM665" s="1585" t="e">
        <f t="shared" si="7"/>
        <v>#VALUE!</v>
      </c>
      <c r="EN665" s="1585"/>
      <c r="EO665" s="1585"/>
      <c r="EP665" s="1585"/>
      <c r="EQ665" s="1585"/>
      <c r="ER665" s="1585" t="e">
        <f t="shared" si="8"/>
        <v>#VALUE!</v>
      </c>
      <c r="ES665" s="1585"/>
      <c r="ET665" s="1585"/>
      <c r="EU665" s="1585"/>
      <c r="EV665" s="1585"/>
      <c r="EW665" s="1585" t="e">
        <f t="shared" si="9"/>
        <v>#VALUE!</v>
      </c>
      <c r="EX665" s="1585"/>
      <c r="EY665" s="1585"/>
      <c r="EZ665" s="1585"/>
      <c r="FA665" s="1585"/>
    </row>
    <row r="666" spans="1:157" ht="12.9" customHeight="1">
      <c r="A666" s="22"/>
      <c r="T666" s="22"/>
      <c r="AZ666" s="34"/>
      <c r="BA666" s="34"/>
      <c r="BB666" s="34"/>
      <c r="BC666" s="34"/>
      <c r="BD666" s="34"/>
      <c r="BE666" s="34"/>
      <c r="BF666" s="34"/>
      <c r="BG666" s="34"/>
      <c r="BH666" s="34"/>
      <c r="BI666" s="34"/>
      <c r="BJ666" s="34"/>
      <c r="BK666" s="34"/>
      <c r="BL666" s="34"/>
      <c r="BM666" s="34"/>
      <c r="DX666" s="1585" t="e">
        <f t="shared" si="4"/>
        <v>#VALUE!</v>
      </c>
      <c r="DY666" s="1585"/>
      <c r="DZ666" s="1585"/>
      <c r="EA666" s="1585"/>
      <c r="EB666" s="1585"/>
      <c r="EC666" s="1585" t="e">
        <f t="shared" si="5"/>
        <v>#VALUE!</v>
      </c>
      <c r="ED666" s="1585"/>
      <c r="EE666" s="1585"/>
      <c r="EF666" s="1585"/>
      <c r="EG666" s="1585"/>
      <c r="EH666" s="1585" t="e">
        <f t="shared" si="6"/>
        <v>#VALUE!</v>
      </c>
      <c r="EI666" s="1585"/>
      <c r="EJ666" s="1585"/>
      <c r="EK666" s="1585"/>
      <c r="EL666" s="1585"/>
      <c r="EM666" s="1585" t="e">
        <f t="shared" si="7"/>
        <v>#VALUE!</v>
      </c>
      <c r="EN666" s="1585"/>
      <c r="EO666" s="1585"/>
      <c r="EP666" s="1585"/>
      <c r="EQ666" s="1585"/>
      <c r="ER666" s="1585" t="e">
        <f t="shared" si="8"/>
        <v>#VALUE!</v>
      </c>
      <c r="ES666" s="1585"/>
      <c r="ET666" s="1585"/>
      <c r="EU666" s="1585"/>
      <c r="EV666" s="1585"/>
      <c r="EW666" s="1585" t="e">
        <f t="shared" si="9"/>
        <v>#VALUE!</v>
      </c>
      <c r="EX666" s="1585"/>
      <c r="EY666" s="1585"/>
      <c r="EZ666" s="1585"/>
      <c r="FA666" s="1585"/>
    </row>
    <row r="667" spans="1:157" ht="12.9" customHeight="1">
      <c r="A667" s="55" t="s">
        <v>761</v>
      </c>
      <c r="B667" t="s">
        <v>461</v>
      </c>
      <c r="G667" s="1512" t="str">
        <f>C639</f>
        <v>Short-Term Bond Reinvestment</v>
      </c>
      <c r="H667" s="1512"/>
      <c r="I667" s="1512"/>
      <c r="J667" s="1512"/>
      <c r="K667" s="1512"/>
      <c r="L667" s="1512"/>
      <c r="M667" s="1512"/>
      <c r="N667" s="1512"/>
      <c r="O667" s="1512"/>
      <c r="P667" s="1512"/>
      <c r="Q667" s="1512"/>
      <c r="R667" s="1512"/>
      <c r="T667" s="55" t="s">
        <v>582</v>
      </c>
      <c r="U667" t="s">
        <v>461</v>
      </c>
      <c r="Z667" s="1512" t="str">
        <f>C640</f>
        <v>Deferred Developer Fee</v>
      </c>
      <c r="AA667" s="1512"/>
      <c r="AB667" s="1512"/>
      <c r="AC667" s="1512"/>
      <c r="AD667" s="1512"/>
      <c r="AE667" s="1512"/>
      <c r="AF667" s="1512"/>
      <c r="AG667" s="1512"/>
      <c r="AH667" s="1512"/>
      <c r="AI667" s="1512"/>
      <c r="AJ667" s="1512"/>
      <c r="AK667" s="1512"/>
      <c r="AZ667" s="34"/>
      <c r="BA667" s="34"/>
      <c r="BB667" s="34"/>
      <c r="BC667" s="34"/>
      <c r="BD667" s="34"/>
      <c r="BE667" s="34"/>
      <c r="BF667" s="34"/>
      <c r="BG667" s="34"/>
      <c r="BH667" s="34"/>
      <c r="BI667" s="34"/>
      <c r="BJ667" s="34"/>
      <c r="BK667" s="34"/>
      <c r="BL667" s="34"/>
      <c r="BM667" s="34"/>
      <c r="DX667" s="1585" t="e">
        <f t="shared" si="4"/>
        <v>#VALUE!</v>
      </c>
      <c r="DY667" s="1585"/>
      <c r="DZ667" s="1585"/>
      <c r="EA667" s="1585"/>
      <c r="EB667" s="1585"/>
      <c r="EC667" s="1585" t="e">
        <f t="shared" si="5"/>
        <v>#VALUE!</v>
      </c>
      <c r="ED667" s="1585"/>
      <c r="EE667" s="1585"/>
      <c r="EF667" s="1585"/>
      <c r="EG667" s="1585"/>
      <c r="EH667" s="1585" t="e">
        <f t="shared" si="6"/>
        <v>#VALUE!</v>
      </c>
      <c r="EI667" s="1585"/>
      <c r="EJ667" s="1585"/>
      <c r="EK667" s="1585"/>
      <c r="EL667" s="1585"/>
      <c r="EM667" s="1585" t="e">
        <f t="shared" si="7"/>
        <v>#VALUE!</v>
      </c>
      <c r="EN667" s="1585"/>
      <c r="EO667" s="1585"/>
      <c r="EP667" s="1585"/>
      <c r="EQ667" s="1585"/>
      <c r="ER667" s="1585" t="e">
        <f t="shared" si="8"/>
        <v>#VALUE!</v>
      </c>
      <c r="ES667" s="1585"/>
      <c r="ET667" s="1585"/>
      <c r="EU667" s="1585"/>
      <c r="EV667" s="1585"/>
      <c r="EW667" s="1585" t="e">
        <f t="shared" si="9"/>
        <v>#VALUE!</v>
      </c>
      <c r="EX667" s="1585"/>
      <c r="EY667" s="1585"/>
      <c r="EZ667" s="1585"/>
      <c r="FA667" s="1585"/>
    </row>
    <row r="668" spans="1:157" ht="12.9" customHeight="1">
      <c r="A668" s="22"/>
      <c r="B668" t="s">
        <v>85</v>
      </c>
      <c r="G668" s="1557" t="s">
        <v>2779</v>
      </c>
      <c r="H668" s="1539"/>
      <c r="I668" s="1539"/>
      <c r="J668" s="1539"/>
      <c r="K668" s="1539"/>
      <c r="L668" s="1539"/>
      <c r="M668" s="1539"/>
      <c r="N668" s="1539"/>
      <c r="O668" s="1539"/>
      <c r="P668" s="1539"/>
      <c r="Q668" s="1539"/>
      <c r="R668" s="1539"/>
      <c r="T668" s="22"/>
      <c r="U668" t="s">
        <v>85</v>
      </c>
      <c r="Z668" s="1557" t="s">
        <v>2779</v>
      </c>
      <c r="AA668" s="1539"/>
      <c r="AB668" s="1539"/>
      <c r="AC668" s="1539"/>
      <c r="AD668" s="1539"/>
      <c r="AE668" s="1539"/>
      <c r="AF668" s="1539"/>
      <c r="AG668" s="1539"/>
      <c r="AH668" s="1539"/>
      <c r="AI668" s="1539"/>
      <c r="AJ668" s="1539"/>
      <c r="AK668" s="1539"/>
      <c r="AZ668" s="34"/>
      <c r="BA668" s="34"/>
      <c r="BB668" s="34"/>
      <c r="BC668" s="34"/>
      <c r="BD668" s="34"/>
      <c r="BE668" s="34"/>
      <c r="BF668" s="34"/>
      <c r="BG668" s="34"/>
      <c r="BH668" s="34"/>
      <c r="BI668" s="34"/>
      <c r="BJ668" s="34"/>
      <c r="BK668" s="34"/>
      <c r="BL668" s="34"/>
      <c r="BM668" s="34"/>
      <c r="DX668" s="1585" t="e">
        <f t="shared" si="4"/>
        <v>#VALUE!</v>
      </c>
      <c r="DY668" s="1585"/>
      <c r="DZ668" s="1585"/>
      <c r="EA668" s="1585"/>
      <c r="EB668" s="1585"/>
      <c r="EC668" s="1585" t="e">
        <f t="shared" si="5"/>
        <v>#VALUE!</v>
      </c>
      <c r="ED668" s="1585"/>
      <c r="EE668" s="1585"/>
      <c r="EF668" s="1585"/>
      <c r="EG668" s="1585"/>
      <c r="EH668" s="1585" t="e">
        <f t="shared" si="6"/>
        <v>#VALUE!</v>
      </c>
      <c r="EI668" s="1585"/>
      <c r="EJ668" s="1585"/>
      <c r="EK668" s="1585"/>
      <c r="EL668" s="1585"/>
      <c r="EM668" s="1585" t="e">
        <f t="shared" si="7"/>
        <v>#VALUE!</v>
      </c>
      <c r="EN668" s="1585"/>
      <c r="EO668" s="1585"/>
      <c r="EP668" s="1585"/>
      <c r="EQ668" s="1585"/>
      <c r="ER668" s="1585" t="e">
        <f t="shared" si="8"/>
        <v>#VALUE!</v>
      </c>
      <c r="ES668" s="1585"/>
      <c r="ET668" s="1585"/>
      <c r="EU668" s="1585"/>
      <c r="EV668" s="1585"/>
      <c r="EW668" s="1585" t="e">
        <f t="shared" si="9"/>
        <v>#VALUE!</v>
      </c>
      <c r="EX668" s="1585"/>
      <c r="EY668" s="1585"/>
      <c r="EZ668" s="1585"/>
      <c r="FA668" s="1585"/>
    </row>
    <row r="669" spans="1:157" ht="12.9" customHeight="1">
      <c r="A669" s="22"/>
      <c r="B669" t="s">
        <v>578</v>
      </c>
      <c r="G669" s="1539" t="s">
        <v>2780</v>
      </c>
      <c r="H669" s="1539"/>
      <c r="I669" s="1539"/>
      <c r="J669" s="1539"/>
      <c r="K669" s="1539"/>
      <c r="L669" s="1539"/>
      <c r="M669" s="1539"/>
      <c r="N669" s="1539"/>
      <c r="O669" s="1539"/>
      <c r="P669" s="1539"/>
      <c r="Q669" s="1539"/>
      <c r="R669" s="1539"/>
      <c r="T669" s="22"/>
      <c r="U669" t="s">
        <v>578</v>
      </c>
      <c r="Z669" s="1516" t="s">
        <v>2780</v>
      </c>
      <c r="AA669" s="1516"/>
      <c r="AB669" s="1516"/>
      <c r="AC669" s="1516"/>
      <c r="AD669" s="1516"/>
      <c r="AE669" s="1516"/>
      <c r="AF669" s="1516"/>
      <c r="AG669" s="1516"/>
      <c r="AH669" s="1516"/>
      <c r="AI669" s="1516"/>
      <c r="AJ669" s="1516"/>
      <c r="AK669" s="1516"/>
      <c r="AZ669" s="34"/>
      <c r="BA669" s="34"/>
      <c r="BB669" s="34"/>
      <c r="BC669" s="34"/>
      <c r="BD669" s="34"/>
      <c r="BE669" s="34"/>
      <c r="BF669" s="34"/>
      <c r="BG669" s="34"/>
      <c r="BH669" s="34"/>
      <c r="BI669" s="34"/>
      <c r="BJ669" s="34"/>
      <c r="BK669" s="34"/>
      <c r="BL669" s="34"/>
      <c r="BM669" s="34"/>
      <c r="DX669" s="1585" t="e">
        <f t="shared" si="4"/>
        <v>#VALUE!</v>
      </c>
      <c r="DY669" s="1585"/>
      <c r="DZ669" s="1585"/>
      <c r="EA669" s="1585"/>
      <c r="EB669" s="1585"/>
      <c r="EC669" s="1585" t="e">
        <f t="shared" si="5"/>
        <v>#VALUE!</v>
      </c>
      <c r="ED669" s="1585"/>
      <c r="EE669" s="1585"/>
      <c r="EF669" s="1585"/>
      <c r="EG669" s="1585"/>
      <c r="EH669" s="1585" t="e">
        <f t="shared" si="6"/>
        <v>#VALUE!</v>
      </c>
      <c r="EI669" s="1585"/>
      <c r="EJ669" s="1585"/>
      <c r="EK669" s="1585"/>
      <c r="EL669" s="1585"/>
      <c r="EM669" s="1585" t="e">
        <f t="shared" si="7"/>
        <v>#VALUE!</v>
      </c>
      <c r="EN669" s="1585"/>
      <c r="EO669" s="1585"/>
      <c r="EP669" s="1585"/>
      <c r="EQ669" s="1585"/>
      <c r="ER669" s="1585" t="e">
        <f t="shared" si="8"/>
        <v>#VALUE!</v>
      </c>
      <c r="ES669" s="1585"/>
      <c r="ET669" s="1585"/>
      <c r="EU669" s="1585"/>
      <c r="EV669" s="1585"/>
      <c r="EW669" s="1585" t="e">
        <f t="shared" si="9"/>
        <v>#VALUE!</v>
      </c>
      <c r="EX669" s="1585"/>
      <c r="EY669" s="1585"/>
      <c r="EZ669" s="1585"/>
      <c r="FA669" s="1585"/>
    </row>
    <row r="670" spans="1:157" ht="12.9" customHeight="1">
      <c r="A670" s="22"/>
      <c r="B670" t="s">
        <v>17</v>
      </c>
      <c r="G670" s="1557" t="s">
        <v>2679</v>
      </c>
      <c r="H670" s="1539"/>
      <c r="I670" s="1539"/>
      <c r="J670" s="1539"/>
      <c r="K670" s="1539"/>
      <c r="L670" s="1539"/>
      <c r="M670" s="1539"/>
      <c r="N670" s="1539"/>
      <c r="O670" s="1539"/>
      <c r="P670" s="1539"/>
      <c r="Q670" s="1539"/>
      <c r="R670" s="1539"/>
      <c r="T670" s="22"/>
      <c r="U670" t="s">
        <v>17</v>
      </c>
      <c r="Z670" s="1516" t="s">
        <v>2679</v>
      </c>
      <c r="AA670" s="1516"/>
      <c r="AB670" s="1516"/>
      <c r="AC670" s="1516"/>
      <c r="AD670" s="1516"/>
      <c r="AE670" s="1516"/>
      <c r="AF670" s="1516"/>
      <c r="AG670" s="1516"/>
      <c r="AH670" s="1516"/>
      <c r="AI670" s="1516"/>
      <c r="AJ670" s="1516"/>
      <c r="AK670" s="1516"/>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585" t="e">
        <f t="shared" si="4"/>
        <v>#VALUE!</v>
      </c>
      <c r="DY670" s="1585"/>
      <c r="DZ670" s="1585"/>
      <c r="EA670" s="1585"/>
      <c r="EB670" s="1585"/>
      <c r="EC670" s="1585" t="e">
        <f t="shared" si="5"/>
        <v>#VALUE!</v>
      </c>
      <c r="ED670" s="1585"/>
      <c r="EE670" s="1585"/>
      <c r="EF670" s="1585"/>
      <c r="EG670" s="1585"/>
      <c r="EH670" s="1585" t="e">
        <f t="shared" si="6"/>
        <v>#VALUE!</v>
      </c>
      <c r="EI670" s="1585"/>
      <c r="EJ670" s="1585"/>
      <c r="EK670" s="1585"/>
      <c r="EL670" s="1585"/>
      <c r="EM670" s="1585" t="e">
        <f t="shared" si="7"/>
        <v>#VALUE!</v>
      </c>
      <c r="EN670" s="1585"/>
      <c r="EO670" s="1585"/>
      <c r="EP670" s="1585"/>
      <c r="EQ670" s="1585"/>
      <c r="ER670" s="1585" t="e">
        <f t="shared" si="8"/>
        <v>#VALUE!</v>
      </c>
      <c r="ES670" s="1585"/>
      <c r="ET670" s="1585"/>
      <c r="EU670" s="1585"/>
      <c r="EV670" s="1585"/>
      <c r="EW670" s="1585" t="e">
        <f t="shared" si="9"/>
        <v>#VALUE!</v>
      </c>
      <c r="EX670" s="1585"/>
      <c r="EY670" s="1585"/>
      <c r="EZ670" s="1585"/>
      <c r="FA670" s="1585"/>
    </row>
    <row r="671" spans="1:157" ht="12.9" customHeight="1">
      <c r="A671" s="22"/>
      <c r="B671" t="s">
        <v>316</v>
      </c>
      <c r="G671" s="1553" t="s">
        <v>2680</v>
      </c>
      <c r="H671" s="1517"/>
      <c r="I671" s="1517"/>
      <c r="J671" s="1517"/>
      <c r="K671" s="1517"/>
      <c r="L671" s="1517"/>
      <c r="O671" s="33" t="s">
        <v>206</v>
      </c>
      <c r="P671" s="1543"/>
      <c r="Q671" s="1543"/>
      <c r="R671" s="1543"/>
      <c r="T671" s="22"/>
      <c r="U671" t="s">
        <v>316</v>
      </c>
      <c r="Z671" s="1517" t="s">
        <v>2680</v>
      </c>
      <c r="AA671" s="1517"/>
      <c r="AB671" s="1517"/>
      <c r="AC671" s="1517"/>
      <c r="AD671" s="1517"/>
      <c r="AE671" s="1517"/>
      <c r="AH671" s="33" t="s">
        <v>206</v>
      </c>
      <c r="AI671" s="1543"/>
      <c r="AJ671" s="1543"/>
      <c r="AK671" s="1543"/>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585" t="e">
        <f t="shared" si="4"/>
        <v>#VALUE!</v>
      </c>
      <c r="DY671" s="1585"/>
      <c r="DZ671" s="1585"/>
      <c r="EA671" s="1585"/>
      <c r="EB671" s="1585"/>
      <c r="EC671" s="1585" t="e">
        <f t="shared" si="5"/>
        <v>#VALUE!</v>
      </c>
      <c r="ED671" s="1585"/>
      <c r="EE671" s="1585"/>
      <c r="EF671" s="1585"/>
      <c r="EG671" s="1585"/>
      <c r="EH671" s="1585" t="e">
        <f t="shared" si="6"/>
        <v>#VALUE!</v>
      </c>
      <c r="EI671" s="1585"/>
      <c r="EJ671" s="1585"/>
      <c r="EK671" s="1585"/>
      <c r="EL671" s="1585"/>
      <c r="EM671" s="1585" t="e">
        <f t="shared" si="7"/>
        <v>#VALUE!</v>
      </c>
      <c r="EN671" s="1585"/>
      <c r="EO671" s="1585"/>
      <c r="EP671" s="1585"/>
      <c r="EQ671" s="1585"/>
      <c r="ER671" s="1585" t="e">
        <f t="shared" si="8"/>
        <v>#VALUE!</v>
      </c>
      <c r="ES671" s="1585"/>
      <c r="ET671" s="1585"/>
      <c r="EU671" s="1585"/>
      <c r="EV671" s="1585"/>
      <c r="EW671" s="1585" t="e">
        <f t="shared" si="9"/>
        <v>#VALUE!</v>
      </c>
      <c r="EX671" s="1585"/>
      <c r="EY671" s="1585"/>
      <c r="EZ671" s="1585"/>
      <c r="FA671" s="1585"/>
    </row>
    <row r="672" spans="1:157" ht="12.9" customHeight="1">
      <c r="A672" s="22"/>
      <c r="B672" t="s">
        <v>18</v>
      </c>
      <c r="H672" s="1557" t="s">
        <v>2838</v>
      </c>
      <c r="I672" s="1539"/>
      <c r="J672" s="1539"/>
      <c r="K672" s="1539"/>
      <c r="L672" s="1539"/>
      <c r="M672" s="1539"/>
      <c r="N672" s="1539"/>
      <c r="O672" s="1539"/>
      <c r="P672" s="1539"/>
      <c r="Q672" s="1539"/>
      <c r="R672" s="1539"/>
      <c r="T672" s="22"/>
      <c r="U672" t="s">
        <v>18</v>
      </c>
      <c r="AA672" s="1557" t="s">
        <v>2254</v>
      </c>
      <c r="AB672" s="1539"/>
      <c r="AC672" s="1539"/>
      <c r="AD672" s="1539"/>
      <c r="AE672" s="1539"/>
      <c r="AF672" s="1539"/>
      <c r="AG672" s="1539"/>
      <c r="AH672" s="1539"/>
      <c r="AI672" s="1539"/>
      <c r="AJ672" s="1539"/>
      <c r="AK672" s="1539"/>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585" t="e">
        <f t="shared" si="4"/>
        <v>#VALUE!</v>
      </c>
      <c r="DY672" s="1585"/>
      <c r="DZ672" s="1585"/>
      <c r="EA672" s="1585"/>
      <c r="EB672" s="1585"/>
      <c r="EC672" s="1585" t="e">
        <f t="shared" si="5"/>
        <v>#VALUE!</v>
      </c>
      <c r="ED672" s="1585"/>
      <c r="EE672" s="1585"/>
      <c r="EF672" s="1585"/>
      <c r="EG672" s="1585"/>
      <c r="EH672" s="1585" t="e">
        <f t="shared" si="6"/>
        <v>#VALUE!</v>
      </c>
      <c r="EI672" s="1585"/>
      <c r="EJ672" s="1585"/>
      <c r="EK672" s="1585"/>
      <c r="EL672" s="1585"/>
      <c r="EM672" s="1585" t="e">
        <f t="shared" si="7"/>
        <v>#VALUE!</v>
      </c>
      <c r="EN672" s="1585"/>
      <c r="EO672" s="1585"/>
      <c r="EP672" s="1585"/>
      <c r="EQ672" s="1585"/>
      <c r="ER672" s="1585" t="e">
        <f t="shared" si="8"/>
        <v>#VALUE!</v>
      </c>
      <c r="ES672" s="1585"/>
      <c r="ET672" s="1585"/>
      <c r="EU672" s="1585"/>
      <c r="EV672" s="1585"/>
      <c r="EW672" s="1585" t="e">
        <f t="shared" si="9"/>
        <v>#VALUE!</v>
      </c>
      <c r="EX672" s="1585"/>
      <c r="EY672" s="1585"/>
      <c r="EZ672" s="1585"/>
      <c r="FA672" s="1585"/>
    </row>
    <row r="673" spans="1:157" ht="12.9" customHeight="1">
      <c r="A673" s="22"/>
      <c r="B673" t="s">
        <v>20</v>
      </c>
      <c r="N673" s="1424" t="s">
        <v>543</v>
      </c>
      <c r="O673" s="1424"/>
      <c r="T673" s="22"/>
      <c r="U673" t="s">
        <v>20</v>
      </c>
      <c r="AG673" s="1424" t="s">
        <v>543</v>
      </c>
      <c r="AH673" s="1424"/>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585" t="e">
        <f t="shared" si="4"/>
        <v>#VALUE!</v>
      </c>
      <c r="DY673" s="1585"/>
      <c r="DZ673" s="1585"/>
      <c r="EA673" s="1585"/>
      <c r="EB673" s="1585"/>
      <c r="EC673" s="1585" t="e">
        <f t="shared" si="5"/>
        <v>#VALUE!</v>
      </c>
      <c r="ED673" s="1585"/>
      <c r="EE673" s="1585"/>
      <c r="EF673" s="1585"/>
      <c r="EG673" s="1585"/>
      <c r="EH673" s="1585" t="e">
        <f t="shared" si="6"/>
        <v>#VALUE!</v>
      </c>
      <c r="EI673" s="1585"/>
      <c r="EJ673" s="1585"/>
      <c r="EK673" s="1585"/>
      <c r="EL673" s="1585"/>
      <c r="EM673" s="1585" t="e">
        <f t="shared" si="7"/>
        <v>#VALUE!</v>
      </c>
      <c r="EN673" s="1585"/>
      <c r="EO673" s="1585"/>
      <c r="EP673" s="1585"/>
      <c r="EQ673" s="1585"/>
      <c r="ER673" s="1585" t="e">
        <f t="shared" si="8"/>
        <v>#VALUE!</v>
      </c>
      <c r="ES673" s="1585"/>
      <c r="ET673" s="1585"/>
      <c r="EU673" s="1585"/>
      <c r="EV673" s="1585"/>
      <c r="EW673" s="1585" t="e">
        <f t="shared" si="9"/>
        <v>#VALUE!</v>
      </c>
      <c r="EX673" s="1585"/>
      <c r="EY673" s="1585"/>
      <c r="EZ673" s="1585"/>
      <c r="FA673" s="1585"/>
    </row>
    <row r="674" spans="1:157" ht="12.9"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585" t="e">
        <f t="shared" si="4"/>
        <v>#VALUE!</v>
      </c>
      <c r="DY674" s="1585"/>
      <c r="DZ674" s="1585"/>
      <c r="EA674" s="1585"/>
      <c r="EB674" s="1585"/>
      <c r="EC674" s="1585" t="e">
        <f t="shared" si="5"/>
        <v>#VALUE!</v>
      </c>
      <c r="ED674" s="1585"/>
      <c r="EE674" s="1585"/>
      <c r="EF674" s="1585"/>
      <c r="EG674" s="1585"/>
      <c r="EH674" s="1585" t="e">
        <f t="shared" si="6"/>
        <v>#VALUE!</v>
      </c>
      <c r="EI674" s="1585"/>
      <c r="EJ674" s="1585"/>
      <c r="EK674" s="1585"/>
      <c r="EL674" s="1585"/>
      <c r="EM674" s="1585" t="e">
        <f t="shared" si="7"/>
        <v>#VALUE!</v>
      </c>
      <c r="EN674" s="1585"/>
      <c r="EO674" s="1585"/>
      <c r="EP674" s="1585"/>
      <c r="EQ674" s="1585"/>
      <c r="ER674" s="1585" t="e">
        <f t="shared" si="8"/>
        <v>#VALUE!</v>
      </c>
      <c r="ES674" s="1585"/>
      <c r="ET674" s="1585"/>
      <c r="EU674" s="1585"/>
      <c r="EV674" s="1585"/>
      <c r="EW674" s="1585" t="e">
        <f t="shared" si="9"/>
        <v>#VALUE!</v>
      </c>
      <c r="EX674" s="1585"/>
      <c r="EY674" s="1585"/>
      <c r="EZ674" s="1585"/>
      <c r="FA674" s="1585"/>
    </row>
    <row r="675" spans="1:157" ht="12.9" customHeight="1">
      <c r="A675" s="55" t="s">
        <v>453</v>
      </c>
      <c r="B675" t="s">
        <v>461</v>
      </c>
      <c r="G675" s="1512">
        <f>C641</f>
        <v>0</v>
      </c>
      <c r="H675" s="1512"/>
      <c r="I675" s="1512"/>
      <c r="J675" s="1512"/>
      <c r="K675" s="1512"/>
      <c r="L675" s="1512"/>
      <c r="M675" s="1512"/>
      <c r="N675" s="1512"/>
      <c r="O675" s="1512"/>
      <c r="P675" s="1512"/>
      <c r="Q675" s="1512"/>
      <c r="R675" s="1512"/>
      <c r="T675" s="55" t="s">
        <v>454</v>
      </c>
      <c r="U675" t="s">
        <v>461</v>
      </c>
      <c r="Z675" s="1512">
        <f>C642</f>
        <v>0</v>
      </c>
      <c r="AA675" s="1512"/>
      <c r="AB675" s="1512"/>
      <c r="AC675" s="1512"/>
      <c r="AD675" s="1512"/>
      <c r="AE675" s="1512"/>
      <c r="AF675" s="1512"/>
      <c r="AG675" s="1512"/>
      <c r="AH675" s="1512"/>
      <c r="AI675" s="1512"/>
      <c r="AJ675" s="1512"/>
      <c r="AK675" s="1512"/>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585" t="e">
        <f t="shared" si="4"/>
        <v>#VALUE!</v>
      </c>
      <c r="DY675" s="1585"/>
      <c r="DZ675" s="1585"/>
      <c r="EA675" s="1585"/>
      <c r="EB675" s="1585"/>
      <c r="EC675" s="1585" t="e">
        <f t="shared" si="5"/>
        <v>#VALUE!</v>
      </c>
      <c r="ED675" s="1585"/>
      <c r="EE675" s="1585"/>
      <c r="EF675" s="1585"/>
      <c r="EG675" s="1585"/>
      <c r="EH675" s="1585" t="e">
        <f t="shared" si="6"/>
        <v>#VALUE!</v>
      </c>
      <c r="EI675" s="1585"/>
      <c r="EJ675" s="1585"/>
      <c r="EK675" s="1585"/>
      <c r="EL675" s="1585"/>
      <c r="EM675" s="1585" t="e">
        <f t="shared" si="7"/>
        <v>#VALUE!</v>
      </c>
      <c r="EN675" s="1585"/>
      <c r="EO675" s="1585"/>
      <c r="EP675" s="1585"/>
      <c r="EQ675" s="1585"/>
      <c r="ER675" s="1585" t="e">
        <f t="shared" si="8"/>
        <v>#VALUE!</v>
      </c>
      <c r="ES675" s="1585"/>
      <c r="ET675" s="1585"/>
      <c r="EU675" s="1585"/>
      <c r="EV675" s="1585"/>
      <c r="EW675" s="1585" t="e">
        <f t="shared" si="9"/>
        <v>#VALUE!</v>
      </c>
      <c r="EX675" s="1585"/>
      <c r="EY675" s="1585"/>
      <c r="EZ675" s="1585"/>
      <c r="FA675" s="1585"/>
    </row>
    <row r="676" spans="1:157" ht="12.9" customHeight="1">
      <c r="A676" s="22"/>
      <c r="B676" t="s">
        <v>85</v>
      </c>
      <c r="G676" s="1539"/>
      <c r="H676" s="1539"/>
      <c r="I676" s="1539"/>
      <c r="J676" s="1539"/>
      <c r="K676" s="1539"/>
      <c r="L676" s="1539"/>
      <c r="M676" s="1539"/>
      <c r="N676" s="1539"/>
      <c r="O676" s="1539"/>
      <c r="P676" s="1539"/>
      <c r="Q676" s="1539"/>
      <c r="R676" s="1539"/>
      <c r="T676" s="22"/>
      <c r="U676" t="s">
        <v>85</v>
      </c>
      <c r="Z676" s="1539"/>
      <c r="AA676" s="1539"/>
      <c r="AB676" s="1539"/>
      <c r="AC676" s="1539"/>
      <c r="AD676" s="1539"/>
      <c r="AE676" s="1539"/>
      <c r="AF676" s="1539"/>
      <c r="AG676" s="1539"/>
      <c r="AH676" s="1539"/>
      <c r="AI676" s="1539"/>
      <c r="AJ676" s="1539"/>
      <c r="AK676" s="1539"/>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585" t="e">
        <f t="shared" si="4"/>
        <v>#VALUE!</v>
      </c>
      <c r="DY676" s="1585"/>
      <c r="DZ676" s="1585"/>
      <c r="EA676" s="1585"/>
      <c r="EB676" s="1585"/>
      <c r="EC676" s="1585" t="e">
        <f t="shared" si="5"/>
        <v>#VALUE!</v>
      </c>
      <c r="ED676" s="1585"/>
      <c r="EE676" s="1585"/>
      <c r="EF676" s="1585"/>
      <c r="EG676" s="1585"/>
      <c r="EH676" s="1585" t="e">
        <f t="shared" si="6"/>
        <v>#VALUE!</v>
      </c>
      <c r="EI676" s="1585"/>
      <c r="EJ676" s="1585"/>
      <c r="EK676" s="1585"/>
      <c r="EL676" s="1585"/>
      <c r="EM676" s="1585" t="e">
        <f t="shared" si="7"/>
        <v>#VALUE!</v>
      </c>
      <c r="EN676" s="1585"/>
      <c r="EO676" s="1585"/>
      <c r="EP676" s="1585"/>
      <c r="EQ676" s="1585"/>
      <c r="ER676" s="1585" t="e">
        <f t="shared" si="8"/>
        <v>#VALUE!</v>
      </c>
      <c r="ES676" s="1585"/>
      <c r="ET676" s="1585"/>
      <c r="EU676" s="1585"/>
      <c r="EV676" s="1585"/>
      <c r="EW676" s="1585" t="e">
        <f t="shared" si="9"/>
        <v>#VALUE!</v>
      </c>
      <c r="EX676" s="1585"/>
      <c r="EY676" s="1585"/>
      <c r="EZ676" s="1585"/>
      <c r="FA676" s="1585"/>
    </row>
    <row r="677" spans="1:157" ht="12.9" customHeight="1">
      <c r="A677" s="22"/>
      <c r="B677" t="s">
        <v>578</v>
      </c>
      <c r="G677" s="1539"/>
      <c r="H677" s="1539"/>
      <c r="I677" s="1539"/>
      <c r="J677" s="1539"/>
      <c r="K677" s="1539"/>
      <c r="L677" s="1539"/>
      <c r="M677" s="1539"/>
      <c r="N677" s="1539"/>
      <c r="O677" s="1539"/>
      <c r="P677" s="1539"/>
      <c r="Q677" s="1539"/>
      <c r="R677" s="1539"/>
      <c r="T677" s="22"/>
      <c r="U677" t="s">
        <v>578</v>
      </c>
      <c r="Z677" s="1516"/>
      <c r="AA677" s="1516"/>
      <c r="AB677" s="1516"/>
      <c r="AC677" s="1516"/>
      <c r="AD677" s="1516"/>
      <c r="AE677" s="1516"/>
      <c r="AF677" s="1516"/>
      <c r="AG677" s="1516"/>
      <c r="AH677" s="1516"/>
      <c r="AI677" s="1516"/>
      <c r="AJ677" s="1516"/>
      <c r="AK677" s="1516"/>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585" t="e">
        <f t="shared" si="4"/>
        <v>#VALUE!</v>
      </c>
      <c r="DY677" s="1585"/>
      <c r="DZ677" s="1585"/>
      <c r="EA677" s="1585"/>
      <c r="EB677" s="1585"/>
      <c r="EC677" s="1585" t="e">
        <f t="shared" si="5"/>
        <v>#VALUE!</v>
      </c>
      <c r="ED677" s="1585"/>
      <c r="EE677" s="1585"/>
      <c r="EF677" s="1585"/>
      <c r="EG677" s="1585"/>
      <c r="EH677" s="1585" t="e">
        <f t="shared" si="6"/>
        <v>#VALUE!</v>
      </c>
      <c r="EI677" s="1585"/>
      <c r="EJ677" s="1585"/>
      <c r="EK677" s="1585"/>
      <c r="EL677" s="1585"/>
      <c r="EM677" s="1585" t="e">
        <f t="shared" si="7"/>
        <v>#VALUE!</v>
      </c>
      <c r="EN677" s="1585"/>
      <c r="EO677" s="1585"/>
      <c r="EP677" s="1585"/>
      <c r="EQ677" s="1585"/>
      <c r="ER677" s="1585" t="e">
        <f t="shared" si="8"/>
        <v>#VALUE!</v>
      </c>
      <c r="ES677" s="1585"/>
      <c r="ET677" s="1585"/>
      <c r="EU677" s="1585"/>
      <c r="EV677" s="1585"/>
      <c r="EW677" s="1585" t="e">
        <f t="shared" si="9"/>
        <v>#VALUE!</v>
      </c>
      <c r="EX677" s="1585"/>
      <c r="EY677" s="1585"/>
      <c r="EZ677" s="1585"/>
      <c r="FA677" s="1585"/>
    </row>
    <row r="678" spans="1:157" ht="12.9" customHeight="1">
      <c r="A678" s="22"/>
      <c r="B678" t="s">
        <v>17</v>
      </c>
      <c r="G678" s="1539"/>
      <c r="H678" s="1539"/>
      <c r="I678" s="1539"/>
      <c r="J678" s="1539"/>
      <c r="K678" s="1539"/>
      <c r="L678" s="1539"/>
      <c r="M678" s="1539"/>
      <c r="N678" s="1539"/>
      <c r="O678" s="1539"/>
      <c r="P678" s="1539"/>
      <c r="Q678" s="1539"/>
      <c r="R678" s="1539"/>
      <c r="T678" s="22"/>
      <c r="U678" t="s">
        <v>17</v>
      </c>
      <c r="Z678" s="1516"/>
      <c r="AA678" s="1516"/>
      <c r="AB678" s="1516"/>
      <c r="AC678" s="1516"/>
      <c r="AD678" s="1516"/>
      <c r="AE678" s="1516"/>
      <c r="AF678" s="1516"/>
      <c r="AG678" s="1516"/>
      <c r="AH678" s="1516"/>
      <c r="AI678" s="1516"/>
      <c r="AJ678" s="1516"/>
      <c r="AK678" s="1516"/>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585">
        <f>SUMIF(DX643:EB677,"&gt;0")</f>
        <v>0</v>
      </c>
      <c r="DY678" s="1585"/>
      <c r="DZ678" s="1585"/>
      <c r="EA678" s="1585"/>
      <c r="EB678" s="1585"/>
      <c r="EC678" s="1585">
        <f>SUMIF(EC643:EG677,"&gt;0")</f>
        <v>2010.2666666666664</v>
      </c>
      <c r="ED678" s="1585"/>
      <c r="EE678" s="1585"/>
      <c r="EF678" s="1585"/>
      <c r="EG678" s="1585"/>
      <c r="EH678" s="1585">
        <f>SUMIF(EH643:EL677,"&gt;0")</f>
        <v>2506.3636363636365</v>
      </c>
      <c r="EI678" s="1585"/>
      <c r="EJ678" s="1585"/>
      <c r="EK678" s="1585"/>
      <c r="EL678" s="1585"/>
      <c r="EM678" s="1585">
        <f>SUMIF(EM643:EQ677,"&gt;0")</f>
        <v>2868.2830188679241</v>
      </c>
      <c r="EN678" s="1585"/>
      <c r="EO678" s="1585"/>
      <c r="EP678" s="1585"/>
      <c r="EQ678" s="1585"/>
      <c r="ER678" s="1585">
        <f>SUMIF(ER643:EV677,"&gt;0")</f>
        <v>0</v>
      </c>
      <c r="ES678" s="1585"/>
      <c r="ET678" s="1585"/>
      <c r="EU678" s="1585"/>
      <c r="EV678" s="1585"/>
      <c r="EW678" s="1585">
        <f>SUMIF(EW643:FA677,"&gt;0")</f>
        <v>0</v>
      </c>
      <c r="EX678" s="1585"/>
      <c r="EY678" s="1585"/>
      <c r="EZ678" s="1585"/>
      <c r="FA678" s="1585"/>
    </row>
    <row r="679" spans="1:157" ht="12.9" customHeight="1">
      <c r="A679" s="22"/>
      <c r="B679" t="s">
        <v>316</v>
      </c>
      <c r="G679" s="1517"/>
      <c r="H679" s="1517"/>
      <c r="I679" s="1517"/>
      <c r="J679" s="1517"/>
      <c r="K679" s="1517"/>
      <c r="L679" s="1517"/>
      <c r="O679" s="33" t="s">
        <v>206</v>
      </c>
      <c r="P679" s="1543"/>
      <c r="Q679" s="1543"/>
      <c r="R679" s="1543"/>
      <c r="T679" s="22"/>
      <c r="U679" t="s">
        <v>316</v>
      </c>
      <c r="Z679" s="1517"/>
      <c r="AA679" s="1517"/>
      <c r="AB679" s="1517"/>
      <c r="AC679" s="1517"/>
      <c r="AD679" s="1517"/>
      <c r="AE679" s="1517"/>
      <c r="AH679" s="33" t="s">
        <v>206</v>
      </c>
      <c r="AI679" s="1543"/>
      <c r="AJ679" s="1543"/>
      <c r="AK679" s="1543"/>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 customHeight="1">
      <c r="A680" s="22"/>
      <c r="B680" t="s">
        <v>18</v>
      </c>
      <c r="H680" s="1539"/>
      <c r="I680" s="1539"/>
      <c r="J680" s="1539"/>
      <c r="K680" s="1539"/>
      <c r="L680" s="1539"/>
      <c r="M680" s="1539"/>
      <c r="N680" s="1539"/>
      <c r="O680" s="1539"/>
      <c r="P680" s="1539"/>
      <c r="Q680" s="1539"/>
      <c r="R680" s="1539"/>
      <c r="T680" s="22"/>
      <c r="U680" t="s">
        <v>18</v>
      </c>
      <c r="AA680" s="1539"/>
      <c r="AB680" s="1539"/>
      <c r="AC680" s="1539"/>
      <c r="AD680" s="1539"/>
      <c r="AE680" s="1539"/>
      <c r="AF680" s="1539"/>
      <c r="AG680" s="1539"/>
      <c r="AH680" s="1539"/>
      <c r="AI680" s="1539"/>
      <c r="AJ680" s="1539"/>
      <c r="AK680" s="1539"/>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 customHeight="1">
      <c r="A681" s="22"/>
      <c r="B681" t="s">
        <v>20</v>
      </c>
      <c r="N681" s="1424"/>
      <c r="O681" s="1424"/>
      <c r="T681" s="22"/>
      <c r="U681" t="s">
        <v>20</v>
      </c>
      <c r="AG681" s="1424" t="s">
        <v>667</v>
      </c>
      <c r="AH681" s="1424"/>
      <c r="AZ681" s="3"/>
    </row>
    <row r="682" spans="1:157" ht="12.9" customHeight="1">
      <c r="A682" s="22"/>
      <c r="T682" s="22"/>
      <c r="AZ682" s="3"/>
    </row>
    <row r="683" spans="1:157" ht="12.9" customHeight="1">
      <c r="A683" s="55" t="s">
        <v>459</v>
      </c>
      <c r="B683" t="s">
        <v>461</v>
      </c>
      <c r="G683" s="1512">
        <f>C643</f>
        <v>0</v>
      </c>
      <c r="H683" s="1512"/>
      <c r="I683" s="1512"/>
      <c r="J683" s="1512"/>
      <c r="K683" s="1512"/>
      <c r="L683" s="1512"/>
      <c r="M683" s="1512"/>
      <c r="N683" s="1512"/>
      <c r="O683" s="1512"/>
      <c r="P683" s="1512"/>
      <c r="Q683" s="1512"/>
      <c r="R683" s="1512"/>
      <c r="T683" s="55" t="s">
        <v>644</v>
      </c>
      <c r="U683" t="s">
        <v>461</v>
      </c>
      <c r="Z683" s="1512">
        <f>C644</f>
        <v>0</v>
      </c>
      <c r="AA683" s="1512"/>
      <c r="AB683" s="1512"/>
      <c r="AC683" s="1512"/>
      <c r="AD683" s="1512"/>
      <c r="AE683" s="1512"/>
      <c r="AF683" s="1512"/>
      <c r="AG683" s="1512"/>
      <c r="AH683" s="1512"/>
      <c r="AI683" s="1512"/>
      <c r="AJ683" s="1512"/>
      <c r="AK683" s="1512"/>
      <c r="AZ683" s="3"/>
    </row>
    <row r="684" spans="1:157" ht="12.9" customHeight="1">
      <c r="A684" s="22"/>
      <c r="B684" t="s">
        <v>85</v>
      </c>
      <c r="G684" s="1539"/>
      <c r="H684" s="1539"/>
      <c r="I684" s="1539"/>
      <c r="J684" s="1539"/>
      <c r="K684" s="1539"/>
      <c r="L684" s="1539"/>
      <c r="M684" s="1539"/>
      <c r="N684" s="1539"/>
      <c r="O684" s="1539"/>
      <c r="P684" s="1539"/>
      <c r="Q684" s="1539"/>
      <c r="R684" s="1539"/>
      <c r="T684" s="22"/>
      <c r="U684" t="s">
        <v>85</v>
      </c>
      <c r="Z684" s="1539"/>
      <c r="AA684" s="1539"/>
      <c r="AB684" s="1539"/>
      <c r="AC684" s="1539"/>
      <c r="AD684" s="1539"/>
      <c r="AE684" s="1539"/>
      <c r="AF684" s="1539"/>
      <c r="AG684" s="1539"/>
      <c r="AH684" s="1539"/>
      <c r="AI684" s="1539"/>
      <c r="AJ684" s="1539"/>
      <c r="AK684" s="1539"/>
      <c r="AZ684" s="3"/>
    </row>
    <row r="685" spans="1:157" ht="12.9" customHeight="1">
      <c r="A685" s="22"/>
      <c r="B685" t="s">
        <v>578</v>
      </c>
      <c r="G685" s="1539"/>
      <c r="H685" s="1539"/>
      <c r="I685" s="1539"/>
      <c r="J685" s="1539"/>
      <c r="K685" s="1539"/>
      <c r="L685" s="1539"/>
      <c r="M685" s="1539"/>
      <c r="N685" s="1539"/>
      <c r="O685" s="1539"/>
      <c r="P685" s="1539"/>
      <c r="Q685" s="1539"/>
      <c r="R685" s="1539"/>
      <c r="T685" s="22"/>
      <c r="U685" t="s">
        <v>578</v>
      </c>
      <c r="Z685" s="1516"/>
      <c r="AA685" s="1516"/>
      <c r="AB685" s="1516"/>
      <c r="AC685" s="1516"/>
      <c r="AD685" s="1516"/>
      <c r="AE685" s="1516"/>
      <c r="AF685" s="1516"/>
      <c r="AG685" s="1516"/>
      <c r="AH685" s="1516"/>
      <c r="AI685" s="1516"/>
      <c r="AJ685" s="1516"/>
      <c r="AK685" s="1516"/>
      <c r="AZ685" s="3"/>
    </row>
    <row r="686" spans="1:157" ht="12.9" customHeight="1">
      <c r="A686" s="22"/>
      <c r="B686" t="s">
        <v>17</v>
      </c>
      <c r="G686" s="1539"/>
      <c r="H686" s="1539"/>
      <c r="I686" s="1539"/>
      <c r="J686" s="1539"/>
      <c r="K686" s="1539"/>
      <c r="L686" s="1539"/>
      <c r="M686" s="1539"/>
      <c r="N686" s="1539"/>
      <c r="O686" s="1539"/>
      <c r="P686" s="1539"/>
      <c r="Q686" s="1539"/>
      <c r="R686" s="1539"/>
      <c r="T686" s="22"/>
      <c r="U686" t="s">
        <v>17</v>
      </c>
      <c r="Z686" s="1516"/>
      <c r="AA686" s="1516"/>
      <c r="AB686" s="1516"/>
      <c r="AC686" s="1516"/>
      <c r="AD686" s="1516"/>
      <c r="AE686" s="1516"/>
      <c r="AF686" s="1516"/>
      <c r="AG686" s="1516"/>
      <c r="AH686" s="1516"/>
      <c r="AI686" s="1516"/>
      <c r="AJ686" s="1516"/>
      <c r="AK686" s="1516"/>
      <c r="AZ686" s="3"/>
    </row>
    <row r="687" spans="1:157" ht="12.9" customHeight="1">
      <c r="A687" s="22"/>
      <c r="B687" t="s">
        <v>316</v>
      </c>
      <c r="G687" s="1517"/>
      <c r="H687" s="1517"/>
      <c r="I687" s="1517"/>
      <c r="J687" s="1517"/>
      <c r="K687" s="1517"/>
      <c r="L687" s="1517"/>
      <c r="O687" s="33" t="s">
        <v>206</v>
      </c>
      <c r="P687" s="1543"/>
      <c r="Q687" s="1543"/>
      <c r="R687" s="1543"/>
      <c r="T687" s="22"/>
      <c r="U687" t="s">
        <v>316</v>
      </c>
      <c r="Z687" s="1517"/>
      <c r="AA687" s="1517"/>
      <c r="AB687" s="1517"/>
      <c r="AC687" s="1517"/>
      <c r="AD687" s="1517"/>
      <c r="AE687" s="1517"/>
      <c r="AH687" s="33" t="s">
        <v>206</v>
      </c>
      <c r="AI687" s="1543"/>
      <c r="AJ687" s="1543"/>
      <c r="AK687" s="1543"/>
      <c r="AZ687" s="3"/>
    </row>
    <row r="688" spans="1:157" ht="12.9" customHeight="1">
      <c r="A688" s="22"/>
      <c r="B688" t="s">
        <v>18</v>
      </c>
      <c r="H688" s="1539"/>
      <c r="I688" s="1539"/>
      <c r="J688" s="1539"/>
      <c r="K688" s="1539"/>
      <c r="L688" s="1539"/>
      <c r="M688" s="1539"/>
      <c r="N688" s="1539"/>
      <c r="O688" s="1539"/>
      <c r="P688" s="1539"/>
      <c r="Q688" s="1539"/>
      <c r="R688" s="1539"/>
      <c r="T688" s="22"/>
      <c r="U688" t="s">
        <v>18</v>
      </c>
      <c r="AA688" s="1539"/>
      <c r="AB688" s="1539"/>
      <c r="AC688" s="1539"/>
      <c r="AD688" s="1539"/>
      <c r="AE688" s="1539"/>
      <c r="AF688" s="1539"/>
      <c r="AG688" s="1539"/>
      <c r="AH688" s="1539"/>
      <c r="AI688" s="1539"/>
      <c r="AJ688" s="1539"/>
      <c r="AK688" s="1539"/>
      <c r="AZ688" s="3"/>
    </row>
    <row r="689" spans="1:52" ht="12.9" customHeight="1">
      <c r="A689" s="22"/>
      <c r="B689" t="s">
        <v>20</v>
      </c>
      <c r="N689" s="1424" t="s">
        <v>667</v>
      </c>
      <c r="O689" s="1424"/>
      <c r="T689" s="22"/>
      <c r="U689" t="s">
        <v>20</v>
      </c>
      <c r="AG689" s="1424" t="s">
        <v>667</v>
      </c>
      <c r="AH689" s="1424"/>
      <c r="AZ689" s="3"/>
    </row>
    <row r="690" spans="1:52" ht="12.9" customHeight="1">
      <c r="A690" s="22"/>
      <c r="T690" s="22"/>
      <c r="AZ690" s="3"/>
    </row>
    <row r="691" spans="1:52" ht="12.9" customHeight="1">
      <c r="A691" s="55" t="s">
        <v>362</v>
      </c>
      <c r="B691" t="s">
        <v>461</v>
      </c>
      <c r="G691" s="1512">
        <f>C645</f>
        <v>0</v>
      </c>
      <c r="H691" s="1512"/>
      <c r="I691" s="1512"/>
      <c r="J691" s="1512"/>
      <c r="K691" s="1512"/>
      <c r="L691" s="1512"/>
      <c r="M691" s="1512"/>
      <c r="N691" s="1512"/>
      <c r="O691" s="1512"/>
      <c r="P691" s="1512"/>
      <c r="Q691" s="1512"/>
      <c r="R691" s="1512"/>
      <c r="T691" s="55" t="s">
        <v>363</v>
      </c>
      <c r="U691" t="s">
        <v>461</v>
      </c>
      <c r="Z691" s="1512">
        <f>C646</f>
        <v>0</v>
      </c>
      <c r="AA691" s="1512"/>
      <c r="AB691" s="1512"/>
      <c r="AC691" s="1512"/>
      <c r="AD691" s="1512"/>
      <c r="AE691" s="1512"/>
      <c r="AF691" s="1512"/>
      <c r="AG691" s="1512"/>
      <c r="AH691" s="1512"/>
      <c r="AI691" s="1512"/>
      <c r="AJ691" s="1512"/>
      <c r="AK691" s="1512"/>
      <c r="AZ691" s="3"/>
    </row>
    <row r="692" spans="1:52" ht="12.9" customHeight="1">
      <c r="B692" t="s">
        <v>85</v>
      </c>
      <c r="G692" s="1539"/>
      <c r="H692" s="1539"/>
      <c r="I692" s="1539"/>
      <c r="J692" s="1539"/>
      <c r="K692" s="1539"/>
      <c r="L692" s="1539"/>
      <c r="M692" s="1539"/>
      <c r="N692" s="1539"/>
      <c r="O692" s="1539"/>
      <c r="P692" s="1539"/>
      <c r="Q692" s="1539"/>
      <c r="R692" s="1539"/>
      <c r="T692" s="22"/>
      <c r="U692" t="s">
        <v>85</v>
      </c>
      <c r="Z692" s="1539"/>
      <c r="AA692" s="1539"/>
      <c r="AB692" s="1539"/>
      <c r="AC692" s="1539"/>
      <c r="AD692" s="1539"/>
      <c r="AE692" s="1539"/>
      <c r="AF692" s="1539"/>
      <c r="AG692" s="1539"/>
      <c r="AH692" s="1539"/>
      <c r="AI692" s="1539"/>
      <c r="AJ692" s="1539"/>
      <c r="AK692" s="1539"/>
      <c r="AZ692" s="3"/>
    </row>
    <row r="693" spans="1:52" ht="12.9" customHeight="1">
      <c r="B693" t="s">
        <v>578</v>
      </c>
      <c r="G693" s="1539"/>
      <c r="H693" s="1539"/>
      <c r="I693" s="1539"/>
      <c r="J693" s="1539"/>
      <c r="K693" s="1539"/>
      <c r="L693" s="1539"/>
      <c r="M693" s="1539"/>
      <c r="N693" s="1539"/>
      <c r="O693" s="1539"/>
      <c r="P693" s="1539"/>
      <c r="Q693" s="1539"/>
      <c r="R693" s="1539"/>
      <c r="U693" t="s">
        <v>578</v>
      </c>
      <c r="Z693" s="1516"/>
      <c r="AA693" s="1516"/>
      <c r="AB693" s="1516"/>
      <c r="AC693" s="1516"/>
      <c r="AD693" s="1516"/>
      <c r="AE693" s="1516"/>
      <c r="AF693" s="1516"/>
      <c r="AG693" s="1516"/>
      <c r="AH693" s="1516"/>
      <c r="AI693" s="1516"/>
      <c r="AJ693" s="1516"/>
      <c r="AK693" s="1516"/>
      <c r="AZ693" s="3"/>
    </row>
    <row r="694" spans="1:52" ht="12.9" customHeight="1">
      <c r="B694" t="s">
        <v>17</v>
      </c>
      <c r="G694" s="1539"/>
      <c r="H694" s="1539"/>
      <c r="I694" s="1539"/>
      <c r="J694" s="1539"/>
      <c r="K694" s="1539"/>
      <c r="L694" s="1539"/>
      <c r="M694" s="1539"/>
      <c r="N694" s="1539"/>
      <c r="O694" s="1539"/>
      <c r="P694" s="1539"/>
      <c r="Q694" s="1539"/>
      <c r="R694" s="1539"/>
      <c r="U694" t="s">
        <v>17</v>
      </c>
      <c r="Z694" s="1516"/>
      <c r="AA694" s="1516"/>
      <c r="AB694" s="1516"/>
      <c r="AC694" s="1516"/>
      <c r="AD694" s="1516"/>
      <c r="AE694" s="1516"/>
      <c r="AF694" s="1516"/>
      <c r="AG694" s="1516"/>
      <c r="AH694" s="1516"/>
      <c r="AI694" s="1516"/>
      <c r="AJ694" s="1516"/>
      <c r="AK694" s="1516"/>
      <c r="AZ694" s="3"/>
    </row>
    <row r="695" spans="1:52" ht="12.9" customHeight="1">
      <c r="B695" t="s">
        <v>316</v>
      </c>
      <c r="G695" s="1517"/>
      <c r="H695" s="1517"/>
      <c r="I695" s="1517"/>
      <c r="J695" s="1517"/>
      <c r="K695" s="1517"/>
      <c r="L695" s="1517"/>
      <c r="O695" s="33" t="s">
        <v>206</v>
      </c>
      <c r="P695" s="1543"/>
      <c r="Q695" s="1543"/>
      <c r="R695" s="1543"/>
      <c r="U695" t="s">
        <v>316</v>
      </c>
      <c r="Z695" s="1517"/>
      <c r="AA695" s="1517"/>
      <c r="AB695" s="1517"/>
      <c r="AC695" s="1517"/>
      <c r="AD695" s="1517"/>
      <c r="AE695" s="1517"/>
      <c r="AH695" s="33" t="s">
        <v>206</v>
      </c>
      <c r="AI695" s="1543"/>
      <c r="AJ695" s="1543"/>
      <c r="AK695" s="1543"/>
      <c r="AZ695" s="3"/>
    </row>
    <row r="696" spans="1:52" ht="12.9" customHeight="1">
      <c r="B696" t="s">
        <v>18</v>
      </c>
      <c r="H696" s="1539"/>
      <c r="I696" s="1539"/>
      <c r="J696" s="1539"/>
      <c r="K696" s="1539"/>
      <c r="L696" s="1539"/>
      <c r="M696" s="1539"/>
      <c r="N696" s="1539"/>
      <c r="O696" s="1539"/>
      <c r="P696" s="1539"/>
      <c r="Q696" s="1539"/>
      <c r="R696" s="1539"/>
      <c r="U696" t="s">
        <v>18</v>
      </c>
      <c r="AA696" s="1539"/>
      <c r="AB696" s="1539"/>
      <c r="AC696" s="1539"/>
      <c r="AD696" s="1539"/>
      <c r="AE696" s="1539"/>
      <c r="AF696" s="1539"/>
      <c r="AG696" s="1539"/>
      <c r="AH696" s="1539"/>
      <c r="AI696" s="1539"/>
      <c r="AJ696" s="1539"/>
      <c r="AK696" s="1539"/>
      <c r="AZ696" s="3"/>
    </row>
    <row r="697" spans="1:52" ht="12.9" customHeight="1">
      <c r="B697" t="s">
        <v>20</v>
      </c>
      <c r="N697" s="1424" t="s">
        <v>667</v>
      </c>
      <c r="O697" s="1424"/>
      <c r="U697" t="s">
        <v>20</v>
      </c>
      <c r="AG697" s="1424" t="s">
        <v>667</v>
      </c>
      <c r="AH697" s="1424"/>
      <c r="AZ697" s="3"/>
    </row>
    <row r="698" spans="1:52" ht="12.9" customHeight="1">
      <c r="AZ698" s="3"/>
    </row>
    <row r="699" spans="1:52" ht="12.9" customHeight="1">
      <c r="A699" s="2" t="s">
        <v>574</v>
      </c>
      <c r="C699" s="2" t="s">
        <v>327</v>
      </c>
      <c r="E699" s="130"/>
      <c r="F699" s="130"/>
      <c r="G699" s="130"/>
      <c r="H699" s="130"/>
      <c r="AZ699" s="3"/>
    </row>
    <row r="700" spans="1:52" ht="12.9" customHeight="1">
      <c r="B700" s="135"/>
      <c r="C700" s="135"/>
      <c r="D700" s="1025" t="s">
        <v>2599</v>
      </c>
      <c r="E700" s="135"/>
      <c r="F700" s="135"/>
      <c r="G700" s="135"/>
      <c r="H700" s="135"/>
      <c r="AZ700" s="3"/>
    </row>
    <row r="701" spans="1:52" ht="12.9" customHeight="1">
      <c r="B701" s="135"/>
      <c r="C701" s="135"/>
      <c r="E701" s="136" t="s">
        <v>433</v>
      </c>
      <c r="F701" s="135"/>
      <c r="G701" s="135"/>
      <c r="H701" s="135"/>
      <c r="AE701" s="1424" t="s">
        <v>543</v>
      </c>
      <c r="AF701" s="1424"/>
      <c r="AZ701" s="3"/>
    </row>
    <row r="702" spans="1:52" ht="12.9" customHeight="1">
      <c r="B702" s="135"/>
      <c r="C702" s="135"/>
      <c r="D702" s="136" t="s">
        <v>436</v>
      </c>
      <c r="E702" s="135"/>
      <c r="F702" s="135"/>
      <c r="G702" s="135"/>
      <c r="H702" s="135"/>
      <c r="AE702" s="1424" t="s">
        <v>667</v>
      </c>
      <c r="AF702" s="1424"/>
      <c r="AZ702" s="3"/>
    </row>
    <row r="703" spans="1:52" ht="12.9" customHeight="1">
      <c r="B703" s="135"/>
      <c r="C703" s="135"/>
      <c r="D703" s="136" t="s">
        <v>918</v>
      </c>
      <c r="E703" s="135"/>
      <c r="F703" s="135"/>
      <c r="G703" s="135"/>
      <c r="H703" s="135"/>
      <c r="AE703" s="1791">
        <v>46273</v>
      </c>
      <c r="AF703" s="1791"/>
      <c r="AG703" s="1791"/>
      <c r="AH703" s="1791"/>
      <c r="AI703" s="1791"/>
    </row>
    <row r="704" spans="1:52" ht="12.9" customHeight="1">
      <c r="B704" s="135"/>
      <c r="C704" s="135"/>
      <c r="D704" s="314" t="s">
        <v>981</v>
      </c>
      <c r="E704" s="135"/>
      <c r="F704" s="135"/>
      <c r="G704" s="135"/>
      <c r="H704" s="135"/>
      <c r="AE704" s="1803">
        <v>46365</v>
      </c>
      <c r="AF704" s="1803"/>
      <c r="AG704" s="1803"/>
      <c r="AH704" s="1803"/>
      <c r="AI704" s="1803"/>
    </row>
    <row r="705" spans="1:110" ht="12.9" customHeight="1">
      <c r="B705" s="135"/>
      <c r="C705" s="135"/>
    </row>
    <row r="706" spans="1:110" ht="12.9" customHeight="1">
      <c r="B706" s="135"/>
      <c r="C706" s="135"/>
      <c r="D706" s="136" t="s">
        <v>814</v>
      </c>
      <c r="E706" s="135"/>
      <c r="F706" s="135"/>
      <c r="G706" s="135"/>
      <c r="H706" s="135"/>
      <c r="AE706" s="1791">
        <v>46539</v>
      </c>
      <c r="AF706" s="1791"/>
      <c r="AG706" s="1791"/>
      <c r="AH706" s="1791"/>
      <c r="AI706" s="1791"/>
    </row>
    <row r="707" spans="1:110" ht="12.9" customHeight="1">
      <c r="B707" s="135"/>
      <c r="C707" s="135"/>
      <c r="D707" s="136" t="s">
        <v>434</v>
      </c>
      <c r="E707" s="135"/>
      <c r="F707" s="135"/>
      <c r="G707" s="135"/>
      <c r="H707" s="135"/>
      <c r="AE707" s="1779">
        <v>0.27500000000000002</v>
      </c>
      <c r="AF707" s="1779"/>
      <c r="AG707" s="1779"/>
      <c r="AH707" s="1779"/>
      <c r="AI707" s="1779"/>
    </row>
    <row r="708" spans="1:110" ht="12.9" customHeight="1">
      <c r="B708" s="135"/>
      <c r="C708" s="135"/>
      <c r="D708" s="136" t="s">
        <v>435</v>
      </c>
      <c r="E708" s="135"/>
      <c r="F708" s="135"/>
      <c r="G708" s="135"/>
      <c r="H708" s="135"/>
      <c r="W708" s="1512" t="str">
        <f>H344</f>
        <v>California Housing Finance Authority</v>
      </c>
      <c r="X708" s="1512"/>
      <c r="Y708" s="1512"/>
      <c r="Z708" s="1512"/>
      <c r="AA708" s="1512"/>
      <c r="AB708" s="1512"/>
      <c r="AC708" s="1512"/>
      <c r="AD708" s="1512"/>
      <c r="AE708" s="1512"/>
      <c r="AF708" s="1512"/>
      <c r="AG708" s="1512"/>
      <c r="AH708" s="1512"/>
      <c r="AI708" s="1512"/>
      <c r="AJ708" s="1512"/>
      <c r="AK708" s="1512"/>
    </row>
    <row r="709" spans="1:110" ht="12.9" customHeight="1">
      <c r="B709" s="135"/>
      <c r="C709" s="135"/>
      <c r="D709" s="136"/>
      <c r="E709" s="135"/>
      <c r="F709" s="135"/>
      <c r="G709" s="135"/>
      <c r="H709" s="135"/>
    </row>
    <row r="710" spans="1:110" ht="12.9" customHeight="1">
      <c r="B710" s="135"/>
      <c r="C710" s="135"/>
      <c r="D710" s="136" t="s">
        <v>437</v>
      </c>
      <c r="E710" s="135"/>
      <c r="F710" s="135"/>
      <c r="G710" s="135"/>
      <c r="H710" s="135"/>
      <c r="AE710" s="1424" t="s">
        <v>667</v>
      </c>
      <c r="AF710" s="1424"/>
    </row>
    <row r="711" spans="1:110" ht="12.9" customHeight="1">
      <c r="B711" s="135"/>
      <c r="C711" s="135"/>
      <c r="D711" s="136" t="s">
        <v>440</v>
      </c>
      <c r="E711" s="135"/>
      <c r="F711" s="135"/>
      <c r="G711" s="135"/>
      <c r="H711" s="135"/>
      <c r="W711" s="1539" t="s">
        <v>589</v>
      </c>
      <c r="X711" s="1539"/>
      <c r="Y711" s="1539"/>
      <c r="Z711" s="1539"/>
      <c r="AA711" s="1539"/>
      <c r="AB711" s="1539"/>
      <c r="AC711" s="1539"/>
      <c r="AD711" s="1539"/>
      <c r="AE711" s="1539"/>
      <c r="AF711" s="1539"/>
      <c r="AG711" s="1539"/>
      <c r="AH711" s="1539"/>
      <c r="AI711" s="1539"/>
      <c r="AJ711" s="1539"/>
      <c r="AK711" s="1539"/>
    </row>
    <row r="712" spans="1:110" ht="12.9" customHeight="1">
      <c r="B712" s="135"/>
      <c r="C712" s="135"/>
      <c r="D712" s="136" t="s">
        <v>87</v>
      </c>
      <c r="E712" s="135"/>
      <c r="F712" s="135"/>
      <c r="G712" s="135"/>
      <c r="H712" s="135"/>
      <c r="J712" s="1539"/>
      <c r="K712" s="1539"/>
      <c r="L712" s="1539"/>
      <c r="M712" s="1539"/>
      <c r="N712" s="1539"/>
      <c r="O712" s="1539"/>
      <c r="P712" s="1539"/>
      <c r="Q712" s="1539"/>
      <c r="R712" s="1539"/>
      <c r="S712" s="1539"/>
      <c r="T712" s="1539"/>
      <c r="U712" s="1539"/>
      <c r="V712" s="1539"/>
      <c r="W712" s="1539"/>
      <c r="X712" s="1539"/>
      <c r="BB712" s="34"/>
      <c r="BC712" s="34"/>
      <c r="BD712" s="34"/>
      <c r="BE712" s="3"/>
      <c r="BF712" s="3"/>
      <c r="BJ712" s="3"/>
      <c r="BK712" s="3"/>
      <c r="BL712" s="3"/>
      <c r="BM712" s="3"/>
      <c r="BN712" s="34"/>
      <c r="BO712" s="34"/>
    </row>
    <row r="713" spans="1:110" ht="12.9" customHeight="1">
      <c r="B713" s="135"/>
      <c r="C713" s="135"/>
      <c r="D713" s="136" t="s">
        <v>88</v>
      </c>
      <c r="J713" s="1517"/>
      <c r="K713" s="1517"/>
      <c r="L713" s="1517"/>
      <c r="M713" s="1517"/>
      <c r="N713" s="1517"/>
      <c r="O713" s="1517"/>
      <c r="P713" s="4" t="s">
        <v>206</v>
      </c>
      <c r="Q713" s="4"/>
      <c r="R713" s="1543"/>
      <c r="S713" s="1543"/>
      <c r="T713" s="1543"/>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 customHeight="1">
      <c r="B714" s="135"/>
      <c r="C714" s="135"/>
      <c r="D714" s="136" t="s">
        <v>441</v>
      </c>
      <c r="W714" s="1539" t="s">
        <v>307</v>
      </c>
      <c r="X714" s="1539"/>
      <c r="Y714" s="1539"/>
      <c r="Z714" s="1539"/>
      <c r="AA714" s="1539"/>
      <c r="AB714" s="1539"/>
      <c r="AC714" s="1539"/>
      <c r="AD714" s="1539"/>
      <c r="AE714" s="1539"/>
      <c r="AF714" s="1539"/>
      <c r="AG714" s="1539"/>
      <c r="AH714" s="1539"/>
      <c r="AI714" s="1539"/>
      <c r="AJ714" s="1539"/>
      <c r="AK714" s="1539"/>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 customHeight="1">
      <c r="B715" s="135"/>
      <c r="C715" s="135"/>
      <c r="D715" s="136"/>
      <c r="E715" s="1539" t="s">
        <v>334</v>
      </c>
      <c r="F715" s="1539"/>
      <c r="G715" s="1539"/>
      <c r="H715" s="1539"/>
      <c r="I715" s="1539"/>
      <c r="J715" s="1539"/>
      <c r="K715" s="1539"/>
      <c r="L715" s="1539"/>
      <c r="M715" s="1539"/>
      <c r="N715" s="1539"/>
      <c r="O715" s="1539"/>
      <c r="P715" s="1539"/>
      <c r="Q715" s="1539"/>
      <c r="R715" s="1539"/>
      <c r="S715" s="1539"/>
      <c r="T715" s="1539"/>
      <c r="U715" s="1539"/>
      <c r="V715" s="1539"/>
      <c r="W715" s="1539"/>
      <c r="X715" s="1539"/>
      <c r="Y715" s="1539"/>
      <c r="Z715" s="1539"/>
      <c r="AA715" s="1539"/>
      <c r="AB715" s="1539"/>
      <c r="AC715" s="1539"/>
      <c r="AD715" s="1539"/>
      <c r="AE715" s="1539"/>
      <c r="AF715" s="1539"/>
      <c r="AG715" s="1539"/>
      <c r="AH715" s="1539"/>
      <c r="AI715" s="1539"/>
      <c r="AJ715" s="1539"/>
      <c r="AK715" s="1539"/>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 customHeight="1">
      <c r="A717" s="1352" t="s">
        <v>95</v>
      </c>
      <c r="B717" s="1352"/>
      <c r="C717" s="1352"/>
      <c r="D717" s="1352"/>
      <c r="E717" s="1352"/>
      <c r="F717" s="1352"/>
      <c r="G717" s="1352"/>
      <c r="H717" s="1352"/>
      <c r="I717" s="1352"/>
      <c r="J717" s="1352"/>
      <c r="K717" s="1352"/>
      <c r="L717" s="1352"/>
      <c r="M717" s="1352"/>
      <c r="N717" s="1352"/>
      <c r="O717" s="1352"/>
      <c r="P717" s="1352"/>
      <c r="Q717" s="1352"/>
      <c r="R717" s="1352"/>
      <c r="S717" s="1352"/>
      <c r="T717" s="1352"/>
      <c r="U717" s="1352"/>
      <c r="V717" s="1352"/>
      <c r="W717" s="1352"/>
      <c r="X717" s="1352"/>
      <c r="Y717" s="1352"/>
      <c r="Z717" s="1352"/>
      <c r="AA717" s="1352"/>
      <c r="AB717" s="1352"/>
      <c r="AC717" s="1352"/>
      <c r="AD717" s="1352"/>
      <c r="AE717" s="1352"/>
      <c r="AF717" s="1352"/>
      <c r="AG717" s="1352"/>
      <c r="AH717" s="1352"/>
      <c r="AI717" s="1352"/>
      <c r="AJ717" s="1352"/>
      <c r="AK717" s="1352"/>
      <c r="AL717" s="1352"/>
      <c r="AM717" s="1352"/>
      <c r="AN717" s="1352"/>
      <c r="AO717" s="1352"/>
      <c r="AP717" s="1352"/>
      <c r="AQ717" s="1352"/>
      <c r="AR717" s="1352"/>
      <c r="AS717" s="1352"/>
      <c r="AT717" s="1352"/>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 customHeight="1">
      <c r="A718" s="1352"/>
      <c r="B718" s="1352"/>
      <c r="C718" s="1352"/>
      <c r="D718" s="1352"/>
      <c r="E718" s="1352"/>
      <c r="F718" s="1352"/>
      <c r="G718" s="1352"/>
      <c r="H718" s="1352"/>
      <c r="I718" s="1352"/>
      <c r="J718" s="1352"/>
      <c r="K718" s="1352"/>
      <c r="L718" s="1352"/>
      <c r="M718" s="1352"/>
      <c r="N718" s="1352"/>
      <c r="O718" s="1352"/>
      <c r="P718" s="1352"/>
      <c r="Q718" s="1352"/>
      <c r="R718" s="1352"/>
      <c r="S718" s="1352"/>
      <c r="T718" s="1352"/>
      <c r="U718" s="1352"/>
      <c r="V718" s="1352"/>
      <c r="W718" s="1352"/>
      <c r="X718" s="1352"/>
      <c r="Y718" s="1352"/>
      <c r="Z718" s="1352"/>
      <c r="AA718" s="1352"/>
      <c r="AB718" s="1352"/>
      <c r="AC718" s="1352"/>
      <c r="AD718" s="1352"/>
      <c r="AE718" s="1352"/>
      <c r="AF718" s="1352"/>
      <c r="AG718" s="1352"/>
      <c r="AH718" s="1352"/>
      <c r="AI718" s="1352"/>
      <c r="AJ718" s="1352"/>
      <c r="AK718" s="1352"/>
      <c r="AL718" s="1352"/>
      <c r="AM718" s="1352"/>
      <c r="AN718" s="1352"/>
      <c r="AO718" s="1352"/>
      <c r="AP718" s="1352"/>
      <c r="AQ718" s="1352"/>
      <c r="AR718" s="1352"/>
      <c r="AS718" s="1352"/>
      <c r="AT718" s="1352"/>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 customHeight="1">
      <c r="A719" s="1352"/>
      <c r="B719" s="1352"/>
      <c r="C719" s="1352"/>
      <c r="D719" s="1352"/>
      <c r="E719" s="1352"/>
      <c r="F719" s="1352"/>
      <c r="G719" s="1352"/>
      <c r="H719" s="1352"/>
      <c r="I719" s="1352"/>
      <c r="J719" s="1352"/>
      <c r="K719" s="1352"/>
      <c r="L719" s="1352"/>
      <c r="M719" s="1352"/>
      <c r="N719" s="1352"/>
      <c r="O719" s="1352"/>
      <c r="P719" s="1352"/>
      <c r="Q719" s="1352"/>
      <c r="R719" s="1352"/>
      <c r="S719" s="1352"/>
      <c r="T719" s="1352"/>
      <c r="U719" s="1352"/>
      <c r="V719" s="1352"/>
      <c r="W719" s="1352"/>
      <c r="X719" s="1352"/>
      <c r="Y719" s="1352"/>
      <c r="Z719" s="1352"/>
      <c r="AA719" s="1352"/>
      <c r="AB719" s="1352"/>
      <c r="AC719" s="1352"/>
      <c r="AD719" s="1352"/>
      <c r="AE719" s="1352"/>
      <c r="AF719" s="1352"/>
      <c r="AG719" s="1352"/>
      <c r="AH719" s="1352"/>
      <c r="AI719" s="1352"/>
      <c r="AJ719" s="1352"/>
      <c r="AK719" s="1352"/>
      <c r="AL719" s="1352"/>
      <c r="AM719" s="1352"/>
      <c r="AN719" s="1352"/>
      <c r="AO719" s="1352"/>
      <c r="AP719" s="1352"/>
      <c r="AQ719" s="1352"/>
      <c r="AR719" s="1352"/>
      <c r="AS719" s="1352"/>
      <c r="AT719" s="1352"/>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 customHeight="1">
      <c r="B722" s="1491" t="s">
        <v>388</v>
      </c>
      <c r="C722" s="1492"/>
      <c r="D722" s="1492"/>
      <c r="E722" s="1492"/>
      <c r="F722" s="1493"/>
      <c r="G722" s="1491" t="s">
        <v>285</v>
      </c>
      <c r="H722" s="1492"/>
      <c r="I722" s="1492"/>
      <c r="J722" s="1493"/>
      <c r="K722" s="1817" t="s">
        <v>1665</v>
      </c>
      <c r="L722" s="1818"/>
      <c r="M722" s="1818"/>
      <c r="N722" s="1819"/>
      <c r="O722" s="1491" t="s">
        <v>445</v>
      </c>
      <c r="P722" s="1492"/>
      <c r="Q722" s="1492"/>
      <c r="R722" s="1492"/>
      <c r="S722" s="1493"/>
      <c r="T722" s="1634" t="s">
        <v>1915</v>
      </c>
      <c r="U722" s="1492"/>
      <c r="V722" s="1492"/>
      <c r="W722" s="1493"/>
      <c r="X722" s="1634" t="s">
        <v>1917</v>
      </c>
      <c r="Y722" s="1492"/>
      <c r="Z722" s="1492"/>
      <c r="AA722" s="1492"/>
      <c r="AB722" s="1493"/>
      <c r="AC722" s="1634" t="s">
        <v>1916</v>
      </c>
      <c r="AD722" s="1492"/>
      <c r="AE722" s="1492"/>
      <c r="AF722" s="1492"/>
      <c r="AG722" s="1493"/>
      <c r="AH722" s="1634" t="s">
        <v>1918</v>
      </c>
      <c r="AI722" s="1492"/>
      <c r="AJ722" s="1493"/>
      <c r="AK722" s="1634" t="s">
        <v>1945</v>
      </c>
      <c r="AL722" s="1492"/>
      <c r="AM722" s="1492"/>
      <c r="AN722" s="1492"/>
      <c r="AO722" s="1493"/>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 customHeight="1">
      <c r="B723" s="1494"/>
      <c r="C723" s="1495"/>
      <c r="D723" s="1495"/>
      <c r="E723" s="1495"/>
      <c r="F723" s="1496"/>
      <c r="G723" s="1494"/>
      <c r="H723" s="1495"/>
      <c r="I723" s="1495"/>
      <c r="J723" s="1496"/>
      <c r="K723" s="1820"/>
      <c r="L723" s="1821"/>
      <c r="M723" s="1821"/>
      <c r="N723" s="1822"/>
      <c r="O723" s="1494"/>
      <c r="P723" s="1495"/>
      <c r="Q723" s="1495"/>
      <c r="R723" s="1495"/>
      <c r="S723" s="1496"/>
      <c r="T723" s="1494"/>
      <c r="U723" s="1495"/>
      <c r="V723" s="1495"/>
      <c r="W723" s="1496"/>
      <c r="X723" s="1494"/>
      <c r="Y723" s="1495"/>
      <c r="Z723" s="1495"/>
      <c r="AA723" s="1495"/>
      <c r="AB723" s="1496"/>
      <c r="AC723" s="1494"/>
      <c r="AD723" s="1495"/>
      <c r="AE723" s="1495"/>
      <c r="AF723" s="1495"/>
      <c r="AG723" s="1496"/>
      <c r="AH723" s="1494"/>
      <c r="AI723" s="1495"/>
      <c r="AJ723" s="1496"/>
      <c r="AK723" s="1494"/>
      <c r="AL723" s="1495"/>
      <c r="AM723" s="1495"/>
      <c r="AN723" s="1495"/>
      <c r="AO723" s="1496"/>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 customHeight="1">
      <c r="A724" s="4"/>
      <c r="B724" s="1494"/>
      <c r="C724" s="1495"/>
      <c r="D724" s="1495"/>
      <c r="E724" s="1495"/>
      <c r="F724" s="1496"/>
      <c r="G724" s="1494"/>
      <c r="H724" s="1495"/>
      <c r="I724" s="1495"/>
      <c r="J724" s="1496"/>
      <c r="K724" s="1820"/>
      <c r="L724" s="1821"/>
      <c r="M724" s="1821"/>
      <c r="N724" s="1822"/>
      <c r="O724" s="1494"/>
      <c r="P724" s="1495"/>
      <c r="Q724" s="1495"/>
      <c r="R724" s="1495"/>
      <c r="S724" s="1496"/>
      <c r="T724" s="1494"/>
      <c r="U724" s="1495"/>
      <c r="V724" s="1495"/>
      <c r="W724" s="1496"/>
      <c r="X724" s="1494"/>
      <c r="Y724" s="1495"/>
      <c r="Z724" s="1495"/>
      <c r="AA724" s="1495"/>
      <c r="AB724" s="1496"/>
      <c r="AC724" s="1494"/>
      <c r="AD724" s="1495"/>
      <c r="AE724" s="1495"/>
      <c r="AF724" s="1495"/>
      <c r="AG724" s="1496"/>
      <c r="AH724" s="1494"/>
      <c r="AI724" s="1495"/>
      <c r="AJ724" s="1496"/>
      <c r="AK724" s="1494"/>
      <c r="AL724" s="1495"/>
      <c r="AM724" s="1495"/>
      <c r="AN724" s="1495"/>
      <c r="AO724" s="1496"/>
      <c r="AP724" s="3"/>
      <c r="AQ724" s="3"/>
      <c r="AR724" s="3"/>
      <c r="AS724" s="3"/>
      <c r="BA724" s="3"/>
      <c r="BB724" s="3"/>
      <c r="BC724" s="3"/>
      <c r="BD724" s="3"/>
      <c r="BE724" s="204"/>
      <c r="BF724" s="205" t="s">
        <v>893</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 customHeight="1">
      <c r="A725" s="4"/>
      <c r="B725" s="1497"/>
      <c r="C725" s="1498"/>
      <c r="D725" s="1498"/>
      <c r="E725" s="1498"/>
      <c r="F725" s="1499"/>
      <c r="G725" s="1497"/>
      <c r="H725" s="1498"/>
      <c r="I725" s="1498"/>
      <c r="J725" s="1499"/>
      <c r="K725" s="1820"/>
      <c r="L725" s="1821"/>
      <c r="M725" s="1821"/>
      <c r="N725" s="1822"/>
      <c r="O725" s="1497"/>
      <c r="P725" s="1498"/>
      <c r="Q725" s="1498"/>
      <c r="R725" s="1498"/>
      <c r="S725" s="1499"/>
      <c r="T725" s="1497"/>
      <c r="U725" s="1498"/>
      <c r="V725" s="1498"/>
      <c r="W725" s="1499"/>
      <c r="X725" s="1497"/>
      <c r="Y725" s="1498"/>
      <c r="Z725" s="1498"/>
      <c r="AA725" s="1498"/>
      <c r="AB725" s="1499"/>
      <c r="AC725" s="1497"/>
      <c r="AD725" s="1498"/>
      <c r="AE725" s="1498"/>
      <c r="AF725" s="1498"/>
      <c r="AG725" s="1499"/>
      <c r="AH725" s="1497"/>
      <c r="AI725" s="1498"/>
      <c r="AJ725" s="1499"/>
      <c r="AK725" s="1497"/>
      <c r="AL725" s="1498"/>
      <c r="AM725" s="1498"/>
      <c r="AN725" s="1498"/>
      <c r="AO725" s="1499"/>
      <c r="AP725" s="3"/>
      <c r="AQ725" s="3"/>
      <c r="AR725" s="3"/>
      <c r="AS725" s="3"/>
      <c r="AZ725" s="166" t="s">
        <v>647</v>
      </c>
      <c r="BA725" s="3"/>
      <c r="BB725" s="3"/>
      <c r="BC725" s="3"/>
      <c r="BD725" s="3"/>
      <c r="BE725" s="204"/>
      <c r="BF725" s="291" t="s">
        <v>894</v>
      </c>
      <c r="BG725" s="296" t="s">
        <v>895</v>
      </c>
      <c r="BH725" s="295" t="s">
        <v>896</v>
      </c>
      <c r="BI725" s="3"/>
      <c r="BJ725" s="3"/>
      <c r="BK725" s="3"/>
      <c r="BL725" s="3"/>
      <c r="BM725" s="3"/>
      <c r="BN725" s="3"/>
      <c r="BS725" s="291" t="s">
        <v>894</v>
      </c>
      <c r="BT725" s="296" t="s">
        <v>895</v>
      </c>
      <c r="BU725" s="295" t="s">
        <v>896</v>
      </c>
      <c r="CC725" s="3"/>
      <c r="CD725" s="3"/>
      <c r="CE725" s="3"/>
      <c r="CF725" s="3"/>
      <c r="CG725" s="121" t="s">
        <v>472</v>
      </c>
      <c r="CH725" s="122"/>
      <c r="CI725" s="1600"/>
      <c r="CJ725" s="1601"/>
      <c r="CK725" s="121" t="s">
        <v>473</v>
      </c>
      <c r="CL725" s="122"/>
      <c r="CM725" s="1600"/>
      <c r="CN725" s="1601"/>
      <c r="CO725" s="3"/>
      <c r="CP725" s="1626" t="s">
        <v>631</v>
      </c>
      <c r="CQ725" s="1627"/>
      <c r="CR725" s="1627"/>
      <c r="CS725" s="1627"/>
      <c r="CT725" s="1628"/>
      <c r="CU725" s="1599" t="s">
        <v>325</v>
      </c>
      <c r="CV725" s="1599"/>
      <c r="CW725" s="1599"/>
      <c r="CX725" s="1599"/>
      <c r="CY725" s="1599"/>
      <c r="CZ725" s="1599" t="s">
        <v>163</v>
      </c>
      <c r="DA725" s="1599"/>
      <c r="DB725" s="1599"/>
      <c r="DC725" s="1599"/>
      <c r="DD725" s="1599"/>
      <c r="DE725" s="1599" t="s">
        <v>164</v>
      </c>
      <c r="DF725" s="1599"/>
      <c r="DG725" s="1599"/>
      <c r="DH725" s="1599"/>
      <c r="DI725" s="1599"/>
      <c r="DJ725" s="1599" t="s">
        <v>458</v>
      </c>
      <c r="DK725" s="1599"/>
      <c r="DL725" s="1599"/>
      <c r="DM725" s="1599"/>
      <c r="DN725" s="1599"/>
      <c r="DO725" s="1599" t="s">
        <v>30</v>
      </c>
      <c r="DP725" s="1599"/>
      <c r="DQ725" s="1599"/>
      <c r="DR725" s="1599"/>
      <c r="DS725" s="1599"/>
      <c r="DT725" s="89"/>
      <c r="DU725" s="1599" t="s">
        <v>631</v>
      </c>
      <c r="DV725" s="1599"/>
      <c r="DW725" s="1599"/>
      <c r="DX725" s="1599"/>
      <c r="DY725" s="1599"/>
      <c r="DZ725" s="1599" t="s">
        <v>325</v>
      </c>
      <c r="EA725" s="1599"/>
      <c r="EB725" s="1599"/>
      <c r="EC725" s="1599"/>
      <c r="ED725" s="1599"/>
      <c r="EE725" s="1599" t="s">
        <v>163</v>
      </c>
      <c r="EF725" s="1599"/>
      <c r="EG725" s="1599"/>
      <c r="EH725" s="1599"/>
      <c r="EI725" s="1599"/>
      <c r="EJ725" s="1599" t="s">
        <v>164</v>
      </c>
      <c r="EK725" s="1599"/>
      <c r="EL725" s="1599"/>
      <c r="EM725" s="1599"/>
      <c r="EN725" s="1599"/>
      <c r="EO725" s="1599" t="s">
        <v>458</v>
      </c>
      <c r="EP725" s="1599"/>
      <c r="EQ725" s="1599"/>
      <c r="ER725" s="1599"/>
      <c r="ES725" s="1599"/>
      <c r="ET725" s="1599" t="s">
        <v>30</v>
      </c>
      <c r="EU725" s="1599"/>
      <c r="EV725" s="1599"/>
      <c r="EW725" s="1599"/>
      <c r="EX725" s="1599"/>
      <c r="EY725" s="4"/>
      <c r="EZ725" s="1599" t="s">
        <v>631</v>
      </c>
      <c r="FA725" s="1599"/>
      <c r="FB725" s="1599"/>
      <c r="FC725" s="1599"/>
      <c r="FD725" s="1599"/>
      <c r="FE725" s="1599" t="s">
        <v>325</v>
      </c>
      <c r="FF725" s="1599"/>
      <c r="FG725" s="1599"/>
      <c r="FH725" s="1599"/>
      <c r="FI725" s="1599"/>
      <c r="FJ725" s="1599" t="s">
        <v>163</v>
      </c>
      <c r="FK725" s="1599"/>
      <c r="FL725" s="1599"/>
      <c r="FM725" s="1599"/>
      <c r="FN725" s="1599"/>
      <c r="FO725" s="1599" t="s">
        <v>164</v>
      </c>
      <c r="FP725" s="1599"/>
      <c r="FQ725" s="1599"/>
      <c r="FR725" s="1599"/>
      <c r="FS725" s="1599"/>
      <c r="FT725" s="1599" t="s">
        <v>458</v>
      </c>
      <c r="FU725" s="1599"/>
      <c r="FV725" s="1599"/>
      <c r="FW725" s="1599"/>
      <c r="FX725" s="1599"/>
      <c r="FY725" s="1599" t="s">
        <v>30</v>
      </c>
      <c r="FZ725" s="1599"/>
      <c r="GA725" s="1599"/>
      <c r="GB725" s="1599"/>
      <c r="GC725" s="1599"/>
    </row>
    <row r="726" spans="1:185" ht="12.9" customHeight="1">
      <c r="A726" s="4"/>
      <c r="B726" s="1448" t="s">
        <v>325</v>
      </c>
      <c r="C726" s="1449"/>
      <c r="D726" s="1449"/>
      <c r="E726" s="1449"/>
      <c r="F726" s="1450"/>
      <c r="G726" s="1442">
        <v>5</v>
      </c>
      <c r="H726" s="1443"/>
      <c r="I726" s="1443"/>
      <c r="J726" s="1444"/>
      <c r="K726" s="1445">
        <v>600</v>
      </c>
      <c r="L726" s="1446"/>
      <c r="M726" s="1446"/>
      <c r="N726" s="1447"/>
      <c r="O726" s="1476">
        <v>2456</v>
      </c>
      <c r="P726" s="1477"/>
      <c r="Q726" s="1477"/>
      <c r="R726" s="1477"/>
      <c r="S726" s="1478"/>
      <c r="T726" s="1476">
        <v>62</v>
      </c>
      <c r="U726" s="1477"/>
      <c r="V726" s="1477"/>
      <c r="W726" s="1478"/>
      <c r="X726" s="1479">
        <f t="shared" ref="X726:X749" si="10">O726+T726</f>
        <v>2518</v>
      </c>
      <c r="Y726" s="1480"/>
      <c r="Z726" s="1480"/>
      <c r="AA726" s="1480"/>
      <c r="AB726" s="1481"/>
      <c r="AC726" s="1482">
        <v>0.7</v>
      </c>
      <c r="AD726" s="1483"/>
      <c r="AE726" s="1483"/>
      <c r="AF726" s="1483"/>
      <c r="AG726" s="1484"/>
      <c r="AH726" s="1500">
        <f>IF($AC726&gt;0,($X726/$AZ726), "")</f>
        <v>0.65368639667705086</v>
      </c>
      <c r="AI726" s="1501"/>
      <c r="AJ726" s="1502"/>
      <c r="AK726" s="1448" t="s">
        <v>589</v>
      </c>
      <c r="AL726" s="1449"/>
      <c r="AM726" s="1449"/>
      <c r="AN726" s="1449"/>
      <c r="AO726" s="1450"/>
      <c r="AP726" s="3"/>
      <c r="AQ726" s="3"/>
      <c r="AR726" s="3"/>
      <c r="AS726" s="3"/>
      <c r="AZ726" s="118">
        <f t="shared" ref="AZ726:AZ760" si="11">IF($G726=0,"N/A",VLOOKUP($T$189,TC_Rent,(MATCH($B726,bedrooms,FALSE)),FALSE))</f>
        <v>3852</v>
      </c>
      <c r="BA726" s="3"/>
      <c r="BB726" s="3"/>
      <c r="BC726" s="3"/>
      <c r="BD726" s="3"/>
      <c r="BE726" s="204"/>
      <c r="BF726" s="293">
        <f t="shared" ref="BF726:BF760" si="12">G726</f>
        <v>5</v>
      </c>
      <c r="BG726" s="297">
        <f t="shared" ref="BG726:BG760" si="13">IF($BF$761=0,0,BF726/$BF$761)</f>
        <v>4.4642857142857144E-2</v>
      </c>
      <c r="BH726" s="298">
        <f t="shared" ref="BH726:BH760" si="14">IF(BG726=0,"",BG726*AC726)</f>
        <v>3.125E-2</v>
      </c>
      <c r="BI726" s="3"/>
      <c r="BJ726" s="3"/>
      <c r="BK726" s="3"/>
      <c r="BL726" s="3"/>
      <c r="BM726" s="3"/>
      <c r="BN726" s="3"/>
      <c r="BS726" s="293">
        <f t="shared" ref="BS726:BS760" si="15">G726</f>
        <v>5</v>
      </c>
      <c r="BT726" s="297">
        <f t="shared" ref="BT726:BT760" si="16">IF($BS$761=0,0,BS726/$BS$761)</f>
        <v>4.4642857142857144E-2</v>
      </c>
      <c r="BU726" s="298">
        <f t="shared" ref="BU726:BU760" si="17">IF(BT726=0,"",BT726*AH726)</f>
        <v>2.9182428423082628E-2</v>
      </c>
      <c r="CC726" s="3"/>
      <c r="CD726" s="3"/>
      <c r="CE726" s="3"/>
      <c r="CF726" s="3"/>
      <c r="CG726" s="1606">
        <f>IF(AND(AC726&lt;=0.5,AC726&gt;=0.36),1,0)</f>
        <v>0</v>
      </c>
      <c r="CH726" s="1607"/>
      <c r="CI726" s="1600">
        <f>IF(CG726=1,G726,0)</f>
        <v>0</v>
      </c>
      <c r="CJ726" s="1601"/>
      <c r="CK726" s="1606">
        <f t="shared" ref="CK726:CK760" si="18">IF(AND(AC726&lt;=0.35,AC726&gt;0),1,0)</f>
        <v>0</v>
      </c>
      <c r="CL726" s="1607"/>
      <c r="CM726" s="1600">
        <f t="shared" ref="CM726:CM760" si="19">IF(CK726=1,G726,0)</f>
        <v>0</v>
      </c>
      <c r="CN726" s="1601"/>
      <c r="CO726" s="3"/>
      <c r="CP726" s="1608">
        <f t="shared" ref="CP726:CP760" si="20">IF(B726="SRO/Studio",G726,0)</f>
        <v>0</v>
      </c>
      <c r="CQ726" s="1609"/>
      <c r="CR726" s="1609"/>
      <c r="CS726" s="1609"/>
      <c r="CT726" s="1610"/>
      <c r="CU726" s="1598">
        <f t="shared" ref="CU726:CU760" si="21">IF(B726="1 Bedroom",G726,0)</f>
        <v>5</v>
      </c>
      <c r="CV726" s="1598"/>
      <c r="CW726" s="1598"/>
      <c r="CX726" s="1598"/>
      <c r="CY726" s="1598"/>
      <c r="CZ726" s="1598">
        <f t="shared" ref="CZ726:CZ760" si="22">IF(B726="2 Bedrooms",G726,0)</f>
        <v>0</v>
      </c>
      <c r="DA726" s="1598"/>
      <c r="DB726" s="1598"/>
      <c r="DC726" s="1598"/>
      <c r="DD726" s="1598"/>
      <c r="DE726" s="1598">
        <f t="shared" ref="DE726:DE760" si="23">IF(B726="3 Bedrooms",G726,0)</f>
        <v>0</v>
      </c>
      <c r="DF726" s="1598"/>
      <c r="DG726" s="1598"/>
      <c r="DH726" s="1598"/>
      <c r="DI726" s="1598"/>
      <c r="DJ726" s="1598">
        <f t="shared" ref="DJ726:DJ760" si="24">IF(B726="4 Bedrooms",G726,0)</f>
        <v>0</v>
      </c>
      <c r="DK726" s="1598"/>
      <c r="DL726" s="1598"/>
      <c r="DM726" s="1598"/>
      <c r="DN726" s="1598"/>
      <c r="DO726" s="1598">
        <f t="shared" ref="DO726:DO760" si="25">IF(B726="5 Bedrooms",G726,0)</f>
        <v>0</v>
      </c>
      <c r="DP726" s="1598"/>
      <c r="DQ726" s="1598"/>
      <c r="DR726" s="1598"/>
      <c r="DS726" s="1598"/>
      <c r="DT726" s="6"/>
      <c r="DU726" s="1597">
        <f t="shared" ref="DU726:DU760" si="26">IF(AND(B726="SRO/Studio",AC726&lt;=0.3),G726,0)</f>
        <v>0</v>
      </c>
      <c r="DV726" s="1597"/>
      <c r="DW726" s="1597"/>
      <c r="DX726" s="1597"/>
      <c r="DY726" s="1597"/>
      <c r="DZ726" s="1597">
        <f t="shared" ref="DZ726:DZ760" si="27">IF(AND(B726="1 Bedroom",AC726&lt;=0.3),G726,0)</f>
        <v>0</v>
      </c>
      <c r="EA726" s="1597"/>
      <c r="EB726" s="1597"/>
      <c r="EC726" s="1597"/>
      <c r="ED726" s="1597"/>
      <c r="EE726" s="1597">
        <f t="shared" ref="EE726:EE760" si="28">IF(AND(B726="2 Bedrooms",AC726&lt;=0.3),G726,0)</f>
        <v>0</v>
      </c>
      <c r="EF726" s="1597"/>
      <c r="EG726" s="1597"/>
      <c r="EH726" s="1597"/>
      <c r="EI726" s="1597"/>
      <c r="EJ726" s="1597">
        <f t="shared" ref="EJ726:EJ760" si="29">IF(AND(B726="3 Bedrooms",AC726&lt;=0.3),G726,0)</f>
        <v>0</v>
      </c>
      <c r="EK726" s="1597"/>
      <c r="EL726" s="1597"/>
      <c r="EM726" s="1597"/>
      <c r="EN726" s="1597"/>
      <c r="EO726" s="1597">
        <f t="shared" ref="EO726:EO760" si="30">IF(AND(B726="4 Bedrooms",AC726&lt;=0.3),G726,0)</f>
        <v>0</v>
      </c>
      <c r="EP726" s="1597"/>
      <c r="EQ726" s="1597"/>
      <c r="ER726" s="1597"/>
      <c r="ES726" s="1597"/>
      <c r="ET726" s="1597">
        <f t="shared" ref="ET726:ET760" si="31">IF(AND(B726="5 Bedrooms",AC726&lt;=0.3),G726,0)</f>
        <v>0</v>
      </c>
      <c r="EU726" s="1597"/>
      <c r="EV726" s="1597"/>
      <c r="EW726" s="1597"/>
      <c r="EX726" s="1597"/>
      <c r="EY726" s="4"/>
      <c r="EZ726" s="1606" t="str">
        <f t="shared" ref="EZ726:EZ760" si="32">IF(CP726&gt;0,O726,"")</f>
        <v/>
      </c>
      <c r="FA726" s="1611"/>
      <c r="FB726" s="1611"/>
      <c r="FC726" s="1611"/>
      <c r="FD726" s="1607"/>
      <c r="FE726" s="1606">
        <f t="shared" ref="FE726:FE760" si="33">IF(CU726&gt;0,O726,"")</f>
        <v>2456</v>
      </c>
      <c r="FF726" s="1611"/>
      <c r="FG726" s="1611"/>
      <c r="FH726" s="1611"/>
      <c r="FI726" s="1607"/>
      <c r="FJ726" s="1606" t="str">
        <f t="shared" ref="FJ726:FJ760" si="34">IF(CZ726&gt;0,O726,"")</f>
        <v/>
      </c>
      <c r="FK726" s="1611"/>
      <c r="FL726" s="1611"/>
      <c r="FM726" s="1611"/>
      <c r="FN726" s="1607"/>
      <c r="FO726" s="1606" t="str">
        <f t="shared" ref="FO726:FO760" si="35">IF(DE726&gt;0,O726,"")</f>
        <v/>
      </c>
      <c r="FP726" s="1611"/>
      <c r="FQ726" s="1611"/>
      <c r="FR726" s="1611"/>
      <c r="FS726" s="1607"/>
      <c r="FT726" s="1606" t="str">
        <f t="shared" ref="FT726:FT760" si="36">IF(DJ726&gt;0,O726,"")</f>
        <v/>
      </c>
      <c r="FU726" s="1611"/>
      <c r="FV726" s="1611"/>
      <c r="FW726" s="1611"/>
      <c r="FX726" s="1607"/>
      <c r="FY726" s="1606" t="str">
        <f t="shared" ref="FY726:FY760" si="37">IF(DO726&gt;0,O726,"")</f>
        <v/>
      </c>
      <c r="FZ726" s="1611"/>
      <c r="GA726" s="1611"/>
      <c r="GB726" s="1611"/>
      <c r="GC726" s="1607"/>
    </row>
    <row r="727" spans="1:185" ht="12.9" customHeight="1">
      <c r="A727" s="4"/>
      <c r="B727" s="1448" t="s">
        <v>325</v>
      </c>
      <c r="C727" s="1449"/>
      <c r="D727" s="1449"/>
      <c r="E727" s="1449"/>
      <c r="F727" s="1450"/>
      <c r="G727" s="1442">
        <v>4</v>
      </c>
      <c r="H727" s="1443"/>
      <c r="I727" s="1443"/>
      <c r="J727" s="1444"/>
      <c r="K727" s="1445">
        <v>600</v>
      </c>
      <c r="L727" s="1446"/>
      <c r="M727" s="1446"/>
      <c r="N727" s="1447"/>
      <c r="O727" s="1476">
        <v>2250</v>
      </c>
      <c r="P727" s="1477"/>
      <c r="Q727" s="1477"/>
      <c r="R727" s="1477"/>
      <c r="S727" s="1478"/>
      <c r="T727" s="1476">
        <v>62</v>
      </c>
      <c r="U727" s="1477"/>
      <c r="V727" s="1477"/>
      <c r="W727" s="1478"/>
      <c r="X727" s="1479">
        <f t="shared" si="10"/>
        <v>2312</v>
      </c>
      <c r="Y727" s="1480"/>
      <c r="Z727" s="1480"/>
      <c r="AA727" s="1480"/>
      <c r="AB727" s="1481"/>
      <c r="AC727" s="1482">
        <v>0.6</v>
      </c>
      <c r="AD727" s="1483"/>
      <c r="AE727" s="1483"/>
      <c r="AF727" s="1483"/>
      <c r="AG727" s="1484"/>
      <c r="AH727" s="1500">
        <f t="shared" ref="AH727:AH760" si="38">IF($AC727&gt;0,($X727/$AZ727), "")</f>
        <v>0.60020768431983385</v>
      </c>
      <c r="AI727" s="1501"/>
      <c r="AJ727" s="1502"/>
      <c r="AK727" s="1448" t="s">
        <v>589</v>
      </c>
      <c r="AL727" s="1449"/>
      <c r="AM727" s="1449"/>
      <c r="AN727" s="1449"/>
      <c r="AO727" s="1450"/>
      <c r="AP727" s="3"/>
      <c r="AQ727" s="3"/>
      <c r="AR727" s="3"/>
      <c r="AS727" s="3"/>
      <c r="AZ727" s="118">
        <f t="shared" si="11"/>
        <v>3852</v>
      </c>
      <c r="BA727" s="3"/>
      <c r="BB727" s="3"/>
      <c r="BC727" s="3"/>
      <c r="BD727" s="3"/>
      <c r="BE727" s="204"/>
      <c r="BF727" s="294">
        <f t="shared" si="12"/>
        <v>4</v>
      </c>
      <c r="BG727" s="297">
        <f t="shared" si="13"/>
        <v>3.5714285714285712E-2</v>
      </c>
      <c r="BH727" s="298">
        <f t="shared" si="14"/>
        <v>2.1428571428571425E-2</v>
      </c>
      <c r="BI727" s="3"/>
      <c r="BJ727" s="3"/>
      <c r="BK727" s="3"/>
      <c r="BL727" s="3"/>
      <c r="BM727" s="3"/>
      <c r="BN727" s="3"/>
      <c r="BS727" s="294">
        <f t="shared" si="15"/>
        <v>4</v>
      </c>
      <c r="BT727" s="297">
        <f t="shared" si="16"/>
        <v>3.5714285714285712E-2</v>
      </c>
      <c r="BU727" s="298">
        <f t="shared" si="17"/>
        <v>2.1435988725708351E-2</v>
      </c>
      <c r="CC727" s="3"/>
      <c r="CD727" s="3"/>
      <c r="CE727" s="3"/>
      <c r="CF727" s="3"/>
      <c r="CG727" s="1606">
        <f t="shared" ref="CG727:CG760" si="39">IF(AND(AC727&lt;=0.5,AC727&gt;=0.36),1,0)</f>
        <v>0</v>
      </c>
      <c r="CH727" s="1607"/>
      <c r="CI727" s="1600">
        <f t="shared" ref="CI727:CI760" si="40">IF(CG727=1,G727,0)</f>
        <v>0</v>
      </c>
      <c r="CJ727" s="1601"/>
      <c r="CK727" s="1606">
        <f t="shared" si="18"/>
        <v>0</v>
      </c>
      <c r="CL727" s="1607"/>
      <c r="CM727" s="1600">
        <f t="shared" si="19"/>
        <v>0</v>
      </c>
      <c r="CN727" s="1601"/>
      <c r="CO727" s="3"/>
      <c r="CP727" s="1608">
        <f t="shared" si="20"/>
        <v>0</v>
      </c>
      <c r="CQ727" s="1609"/>
      <c r="CR727" s="1609"/>
      <c r="CS727" s="1609"/>
      <c r="CT727" s="1610"/>
      <c r="CU727" s="1598">
        <f t="shared" si="21"/>
        <v>4</v>
      </c>
      <c r="CV727" s="1598"/>
      <c r="CW727" s="1598"/>
      <c r="CX727" s="1598"/>
      <c r="CY727" s="1598"/>
      <c r="CZ727" s="1598">
        <f t="shared" si="22"/>
        <v>0</v>
      </c>
      <c r="DA727" s="1598"/>
      <c r="DB727" s="1598"/>
      <c r="DC727" s="1598"/>
      <c r="DD727" s="1598"/>
      <c r="DE727" s="1598">
        <f t="shared" si="23"/>
        <v>0</v>
      </c>
      <c r="DF727" s="1598"/>
      <c r="DG727" s="1598"/>
      <c r="DH727" s="1598"/>
      <c r="DI727" s="1598"/>
      <c r="DJ727" s="1598">
        <f t="shared" si="24"/>
        <v>0</v>
      </c>
      <c r="DK727" s="1598"/>
      <c r="DL727" s="1598"/>
      <c r="DM727" s="1598"/>
      <c r="DN727" s="1598"/>
      <c r="DO727" s="1598">
        <f t="shared" si="25"/>
        <v>0</v>
      </c>
      <c r="DP727" s="1598"/>
      <c r="DQ727" s="1598"/>
      <c r="DR727" s="1598"/>
      <c r="DS727" s="1598"/>
      <c r="DT727" s="6"/>
      <c r="DU727" s="1597">
        <f t="shared" si="26"/>
        <v>0</v>
      </c>
      <c r="DV727" s="1597"/>
      <c r="DW727" s="1597"/>
      <c r="DX727" s="1597"/>
      <c r="DY727" s="1597"/>
      <c r="DZ727" s="1597">
        <f t="shared" si="27"/>
        <v>0</v>
      </c>
      <c r="EA727" s="1597"/>
      <c r="EB727" s="1597"/>
      <c r="EC727" s="1597"/>
      <c r="ED727" s="1597"/>
      <c r="EE727" s="1597">
        <f t="shared" si="28"/>
        <v>0</v>
      </c>
      <c r="EF727" s="1597"/>
      <c r="EG727" s="1597"/>
      <c r="EH727" s="1597"/>
      <c r="EI727" s="1597"/>
      <c r="EJ727" s="1597">
        <f t="shared" si="29"/>
        <v>0</v>
      </c>
      <c r="EK727" s="1597"/>
      <c r="EL727" s="1597"/>
      <c r="EM727" s="1597"/>
      <c r="EN727" s="1597"/>
      <c r="EO727" s="1597">
        <f t="shared" si="30"/>
        <v>0</v>
      </c>
      <c r="EP727" s="1597"/>
      <c r="EQ727" s="1597"/>
      <c r="ER727" s="1597"/>
      <c r="ES727" s="1597"/>
      <c r="ET727" s="1597">
        <f t="shared" si="31"/>
        <v>0</v>
      </c>
      <c r="EU727" s="1597"/>
      <c r="EV727" s="1597"/>
      <c r="EW727" s="1597"/>
      <c r="EX727" s="1597"/>
      <c r="EY727" s="4"/>
      <c r="EZ727" s="1606" t="str">
        <f t="shared" si="32"/>
        <v/>
      </c>
      <c r="FA727" s="1611"/>
      <c r="FB727" s="1611"/>
      <c r="FC727" s="1611"/>
      <c r="FD727" s="1607"/>
      <c r="FE727" s="1606">
        <f t="shared" si="33"/>
        <v>2250</v>
      </c>
      <c r="FF727" s="1611"/>
      <c r="FG727" s="1611"/>
      <c r="FH727" s="1611"/>
      <c r="FI727" s="1607"/>
      <c r="FJ727" s="1606" t="str">
        <f t="shared" si="34"/>
        <v/>
      </c>
      <c r="FK727" s="1611"/>
      <c r="FL727" s="1611"/>
      <c r="FM727" s="1611"/>
      <c r="FN727" s="1607"/>
      <c r="FO727" s="1606" t="str">
        <f t="shared" si="35"/>
        <v/>
      </c>
      <c r="FP727" s="1611"/>
      <c r="FQ727" s="1611"/>
      <c r="FR727" s="1611"/>
      <c r="FS727" s="1607"/>
      <c r="FT727" s="1606" t="str">
        <f t="shared" si="36"/>
        <v/>
      </c>
      <c r="FU727" s="1611"/>
      <c r="FV727" s="1611"/>
      <c r="FW727" s="1611"/>
      <c r="FX727" s="1607"/>
      <c r="FY727" s="1606" t="str">
        <f t="shared" si="37"/>
        <v/>
      </c>
      <c r="FZ727" s="1611"/>
      <c r="GA727" s="1611"/>
      <c r="GB727" s="1611"/>
      <c r="GC727" s="1607"/>
    </row>
    <row r="728" spans="1:185" ht="12.9" customHeight="1">
      <c r="A728" s="4"/>
      <c r="B728" s="1448" t="s">
        <v>325</v>
      </c>
      <c r="C728" s="1449"/>
      <c r="D728" s="1449"/>
      <c r="E728" s="1449"/>
      <c r="F728" s="1450"/>
      <c r="G728" s="1442">
        <v>3</v>
      </c>
      <c r="H728" s="1443"/>
      <c r="I728" s="1443"/>
      <c r="J728" s="1444"/>
      <c r="K728" s="1445">
        <v>600</v>
      </c>
      <c r="L728" s="1446"/>
      <c r="M728" s="1446"/>
      <c r="N728" s="1447"/>
      <c r="O728" s="1476">
        <v>1864</v>
      </c>
      <c r="P728" s="1477"/>
      <c r="Q728" s="1477"/>
      <c r="R728" s="1477"/>
      <c r="S728" s="1478"/>
      <c r="T728" s="1476">
        <v>62</v>
      </c>
      <c r="U728" s="1477"/>
      <c r="V728" s="1477"/>
      <c r="W728" s="1478"/>
      <c r="X728" s="1479">
        <f t="shared" si="10"/>
        <v>1926</v>
      </c>
      <c r="Y728" s="1480"/>
      <c r="Z728" s="1480"/>
      <c r="AA728" s="1480"/>
      <c r="AB728" s="1481"/>
      <c r="AC728" s="1482">
        <v>0.5</v>
      </c>
      <c r="AD728" s="1483"/>
      <c r="AE728" s="1483"/>
      <c r="AF728" s="1483"/>
      <c r="AG728" s="1484"/>
      <c r="AH728" s="1500">
        <f t="shared" si="38"/>
        <v>0.5</v>
      </c>
      <c r="AI728" s="1501"/>
      <c r="AJ728" s="1502"/>
      <c r="AK728" s="1448" t="s">
        <v>589</v>
      </c>
      <c r="AL728" s="1449"/>
      <c r="AM728" s="1449"/>
      <c r="AN728" s="1449"/>
      <c r="AO728" s="1450"/>
      <c r="AP728" s="3"/>
      <c r="AQ728" s="3"/>
      <c r="AR728" s="3"/>
      <c r="AS728" s="3"/>
      <c r="AZ728" s="118">
        <f t="shared" si="11"/>
        <v>3852</v>
      </c>
      <c r="BA728" s="3"/>
      <c r="BB728" s="3"/>
      <c r="BC728" s="3"/>
      <c r="BD728" s="3"/>
      <c r="BE728" s="204"/>
      <c r="BF728" s="294">
        <f t="shared" si="12"/>
        <v>3</v>
      </c>
      <c r="BG728" s="297">
        <f t="shared" si="13"/>
        <v>2.6785714285714284E-2</v>
      </c>
      <c r="BH728" s="298">
        <f t="shared" si="14"/>
        <v>1.3392857142857142E-2</v>
      </c>
      <c r="BI728" s="3"/>
      <c r="BJ728" s="3"/>
      <c r="BK728" s="3"/>
      <c r="BL728" s="3"/>
      <c r="BM728" s="3"/>
      <c r="BN728" s="3"/>
      <c r="BS728" s="294">
        <f t="shared" si="15"/>
        <v>3</v>
      </c>
      <c r="BT728" s="297">
        <f t="shared" si="16"/>
        <v>2.6785714285714284E-2</v>
      </c>
      <c r="BU728" s="298">
        <f t="shared" si="17"/>
        <v>1.3392857142857142E-2</v>
      </c>
      <c r="CC728" s="3"/>
      <c r="CD728" s="3"/>
      <c r="CE728" s="3"/>
      <c r="CF728" s="3"/>
      <c r="CG728" s="1606">
        <f t="shared" si="39"/>
        <v>1</v>
      </c>
      <c r="CH728" s="1607"/>
      <c r="CI728" s="1600">
        <f t="shared" si="40"/>
        <v>3</v>
      </c>
      <c r="CJ728" s="1601"/>
      <c r="CK728" s="1606">
        <f t="shared" si="18"/>
        <v>0</v>
      </c>
      <c r="CL728" s="1607"/>
      <c r="CM728" s="1600">
        <f t="shared" si="19"/>
        <v>0</v>
      </c>
      <c r="CN728" s="1601"/>
      <c r="CO728" s="3"/>
      <c r="CP728" s="1608">
        <f t="shared" si="20"/>
        <v>0</v>
      </c>
      <c r="CQ728" s="1609"/>
      <c r="CR728" s="1609"/>
      <c r="CS728" s="1609"/>
      <c r="CT728" s="1610"/>
      <c r="CU728" s="1598">
        <f t="shared" si="21"/>
        <v>3</v>
      </c>
      <c r="CV728" s="1598"/>
      <c r="CW728" s="1598"/>
      <c r="CX728" s="1598"/>
      <c r="CY728" s="1598"/>
      <c r="CZ728" s="1598">
        <f t="shared" si="22"/>
        <v>0</v>
      </c>
      <c r="DA728" s="1598"/>
      <c r="DB728" s="1598"/>
      <c r="DC728" s="1598"/>
      <c r="DD728" s="1598"/>
      <c r="DE728" s="1598">
        <f t="shared" si="23"/>
        <v>0</v>
      </c>
      <c r="DF728" s="1598"/>
      <c r="DG728" s="1598"/>
      <c r="DH728" s="1598"/>
      <c r="DI728" s="1598"/>
      <c r="DJ728" s="1598">
        <f t="shared" si="24"/>
        <v>0</v>
      </c>
      <c r="DK728" s="1598"/>
      <c r="DL728" s="1598"/>
      <c r="DM728" s="1598"/>
      <c r="DN728" s="1598"/>
      <c r="DO728" s="1598">
        <f t="shared" si="25"/>
        <v>0</v>
      </c>
      <c r="DP728" s="1598"/>
      <c r="DQ728" s="1598"/>
      <c r="DR728" s="1598"/>
      <c r="DS728" s="1598"/>
      <c r="DT728" s="6"/>
      <c r="DU728" s="1597">
        <f t="shared" si="26"/>
        <v>0</v>
      </c>
      <c r="DV728" s="1597"/>
      <c r="DW728" s="1597"/>
      <c r="DX728" s="1597"/>
      <c r="DY728" s="1597"/>
      <c r="DZ728" s="1597">
        <f t="shared" si="27"/>
        <v>0</v>
      </c>
      <c r="EA728" s="1597"/>
      <c r="EB728" s="1597"/>
      <c r="EC728" s="1597"/>
      <c r="ED728" s="1597"/>
      <c r="EE728" s="1597">
        <f t="shared" si="28"/>
        <v>0</v>
      </c>
      <c r="EF728" s="1597"/>
      <c r="EG728" s="1597"/>
      <c r="EH728" s="1597"/>
      <c r="EI728" s="1597"/>
      <c r="EJ728" s="1597">
        <f t="shared" si="29"/>
        <v>0</v>
      </c>
      <c r="EK728" s="1597"/>
      <c r="EL728" s="1597"/>
      <c r="EM728" s="1597"/>
      <c r="EN728" s="1597"/>
      <c r="EO728" s="1597">
        <f t="shared" si="30"/>
        <v>0</v>
      </c>
      <c r="EP728" s="1597"/>
      <c r="EQ728" s="1597"/>
      <c r="ER728" s="1597"/>
      <c r="ES728" s="1597"/>
      <c r="ET728" s="1597">
        <f t="shared" si="31"/>
        <v>0</v>
      </c>
      <c r="EU728" s="1597"/>
      <c r="EV728" s="1597"/>
      <c r="EW728" s="1597"/>
      <c r="EX728" s="1597"/>
      <c r="EZ728" s="1606" t="str">
        <f t="shared" si="32"/>
        <v/>
      </c>
      <c r="FA728" s="1611"/>
      <c r="FB728" s="1611"/>
      <c r="FC728" s="1611"/>
      <c r="FD728" s="1607"/>
      <c r="FE728" s="1606">
        <f t="shared" si="33"/>
        <v>1864</v>
      </c>
      <c r="FF728" s="1611"/>
      <c r="FG728" s="1611"/>
      <c r="FH728" s="1611"/>
      <c r="FI728" s="1607"/>
      <c r="FJ728" s="1606" t="str">
        <f t="shared" si="34"/>
        <v/>
      </c>
      <c r="FK728" s="1611"/>
      <c r="FL728" s="1611"/>
      <c r="FM728" s="1611"/>
      <c r="FN728" s="1607"/>
      <c r="FO728" s="1606" t="str">
        <f t="shared" si="35"/>
        <v/>
      </c>
      <c r="FP728" s="1611"/>
      <c r="FQ728" s="1611"/>
      <c r="FR728" s="1611"/>
      <c r="FS728" s="1607"/>
      <c r="FT728" s="1606" t="str">
        <f t="shared" si="36"/>
        <v/>
      </c>
      <c r="FU728" s="1611"/>
      <c r="FV728" s="1611"/>
      <c r="FW728" s="1611"/>
      <c r="FX728" s="1607"/>
      <c r="FY728" s="1606" t="str">
        <f t="shared" si="37"/>
        <v/>
      </c>
      <c r="FZ728" s="1611"/>
      <c r="GA728" s="1611"/>
      <c r="GB728" s="1611"/>
      <c r="GC728" s="1607"/>
    </row>
    <row r="729" spans="1:185" ht="12.9" customHeight="1">
      <c r="B729" s="1448" t="s">
        <v>325</v>
      </c>
      <c r="C729" s="1449"/>
      <c r="D729" s="1449"/>
      <c r="E729" s="1449"/>
      <c r="F729" s="1450"/>
      <c r="G729" s="1442">
        <v>3</v>
      </c>
      <c r="H729" s="1443"/>
      <c r="I729" s="1443"/>
      <c r="J729" s="1444"/>
      <c r="K729" s="1445">
        <v>600</v>
      </c>
      <c r="L729" s="1446"/>
      <c r="M729" s="1446"/>
      <c r="N729" s="1447"/>
      <c r="O729" s="1476">
        <v>1094</v>
      </c>
      <c r="P729" s="1477"/>
      <c r="Q729" s="1477"/>
      <c r="R729" s="1477"/>
      <c r="S729" s="1478"/>
      <c r="T729" s="1476">
        <v>62</v>
      </c>
      <c r="U729" s="1477"/>
      <c r="V729" s="1477"/>
      <c r="W729" s="1478"/>
      <c r="X729" s="1479">
        <f t="shared" si="10"/>
        <v>1156</v>
      </c>
      <c r="Y729" s="1480"/>
      <c r="Z729" s="1480"/>
      <c r="AA729" s="1480"/>
      <c r="AB729" s="1481"/>
      <c r="AC729" s="1482">
        <v>0.3</v>
      </c>
      <c r="AD729" s="1483"/>
      <c r="AE729" s="1483"/>
      <c r="AF729" s="1483"/>
      <c r="AG729" s="1484"/>
      <c r="AH729" s="1500">
        <f t="shared" si="38"/>
        <v>0.30010384215991692</v>
      </c>
      <c r="AI729" s="1501"/>
      <c r="AJ729" s="1502"/>
      <c r="AK729" s="1448" t="s">
        <v>589</v>
      </c>
      <c r="AL729" s="1449"/>
      <c r="AM729" s="1449"/>
      <c r="AN729" s="1449"/>
      <c r="AO729" s="1450"/>
      <c r="AP729" s="3"/>
      <c r="AQ729" s="3"/>
      <c r="AR729" s="3"/>
      <c r="AS729" s="3"/>
      <c r="AY729" s="116"/>
      <c r="AZ729" s="118">
        <f t="shared" si="11"/>
        <v>3852</v>
      </c>
      <c r="BA729" s="3"/>
      <c r="BB729" s="3"/>
      <c r="BC729" s="3"/>
      <c r="BD729" s="3"/>
      <c r="BE729" s="204"/>
      <c r="BF729" s="294">
        <f t="shared" si="12"/>
        <v>3</v>
      </c>
      <c r="BG729" s="297">
        <f t="shared" si="13"/>
        <v>2.6785714285714284E-2</v>
      </c>
      <c r="BH729" s="298">
        <f t="shared" si="14"/>
        <v>8.0357142857142849E-3</v>
      </c>
      <c r="BI729" s="3"/>
      <c r="BJ729" s="3"/>
      <c r="BK729" s="3"/>
      <c r="BL729" s="3"/>
      <c r="BM729" s="3"/>
      <c r="BN729" s="3"/>
      <c r="BS729" s="294">
        <f t="shared" si="15"/>
        <v>3</v>
      </c>
      <c r="BT729" s="297">
        <f t="shared" si="16"/>
        <v>2.6785714285714284E-2</v>
      </c>
      <c r="BU729" s="298">
        <f t="shared" si="17"/>
        <v>8.0384957721406306E-3</v>
      </c>
      <c r="CC729" s="3"/>
      <c r="CD729" s="3"/>
      <c r="CE729" s="3"/>
      <c r="CF729" s="3"/>
      <c r="CG729" s="1606">
        <f t="shared" si="39"/>
        <v>0</v>
      </c>
      <c r="CH729" s="1607"/>
      <c r="CI729" s="1600">
        <f t="shared" si="40"/>
        <v>0</v>
      </c>
      <c r="CJ729" s="1601"/>
      <c r="CK729" s="1606">
        <f t="shared" si="18"/>
        <v>1</v>
      </c>
      <c r="CL729" s="1607"/>
      <c r="CM729" s="1600">
        <f t="shared" si="19"/>
        <v>3</v>
      </c>
      <c r="CN729" s="1601"/>
      <c r="CO729" s="3"/>
      <c r="CP729" s="1608">
        <f t="shared" si="20"/>
        <v>0</v>
      </c>
      <c r="CQ729" s="1609"/>
      <c r="CR729" s="1609"/>
      <c r="CS729" s="1609"/>
      <c r="CT729" s="1610"/>
      <c r="CU729" s="1598">
        <f t="shared" si="21"/>
        <v>3</v>
      </c>
      <c r="CV729" s="1598"/>
      <c r="CW729" s="1598"/>
      <c r="CX729" s="1598"/>
      <c r="CY729" s="1598"/>
      <c r="CZ729" s="1598">
        <f t="shared" si="22"/>
        <v>0</v>
      </c>
      <c r="DA729" s="1598"/>
      <c r="DB729" s="1598"/>
      <c r="DC729" s="1598"/>
      <c r="DD729" s="1598"/>
      <c r="DE729" s="1598">
        <f t="shared" si="23"/>
        <v>0</v>
      </c>
      <c r="DF729" s="1598"/>
      <c r="DG729" s="1598"/>
      <c r="DH729" s="1598"/>
      <c r="DI729" s="1598"/>
      <c r="DJ729" s="1598">
        <f t="shared" si="24"/>
        <v>0</v>
      </c>
      <c r="DK729" s="1598"/>
      <c r="DL729" s="1598"/>
      <c r="DM729" s="1598"/>
      <c r="DN729" s="1598"/>
      <c r="DO729" s="1598">
        <f t="shared" si="25"/>
        <v>0</v>
      </c>
      <c r="DP729" s="1598"/>
      <c r="DQ729" s="1598"/>
      <c r="DR729" s="1598"/>
      <c r="DS729" s="1598"/>
      <c r="DT729" s="6"/>
      <c r="DU729" s="1597">
        <f t="shared" si="26"/>
        <v>0</v>
      </c>
      <c r="DV729" s="1597"/>
      <c r="DW729" s="1597"/>
      <c r="DX729" s="1597"/>
      <c r="DY729" s="1597"/>
      <c r="DZ729" s="1597">
        <f t="shared" si="27"/>
        <v>3</v>
      </c>
      <c r="EA729" s="1597"/>
      <c r="EB729" s="1597"/>
      <c r="EC729" s="1597"/>
      <c r="ED729" s="1597"/>
      <c r="EE729" s="1597">
        <f t="shared" si="28"/>
        <v>0</v>
      </c>
      <c r="EF729" s="1597"/>
      <c r="EG729" s="1597"/>
      <c r="EH729" s="1597"/>
      <c r="EI729" s="1597"/>
      <c r="EJ729" s="1597">
        <f t="shared" si="29"/>
        <v>0</v>
      </c>
      <c r="EK729" s="1597"/>
      <c r="EL729" s="1597"/>
      <c r="EM729" s="1597"/>
      <c r="EN729" s="1597"/>
      <c r="EO729" s="1597">
        <f t="shared" si="30"/>
        <v>0</v>
      </c>
      <c r="EP729" s="1597"/>
      <c r="EQ729" s="1597"/>
      <c r="ER729" s="1597"/>
      <c r="ES729" s="1597"/>
      <c r="ET729" s="1597">
        <f t="shared" si="31"/>
        <v>0</v>
      </c>
      <c r="EU729" s="1597"/>
      <c r="EV729" s="1597"/>
      <c r="EW729" s="1597"/>
      <c r="EX729" s="1597"/>
      <c r="EZ729" s="1606" t="str">
        <f t="shared" si="32"/>
        <v/>
      </c>
      <c r="FA729" s="1611"/>
      <c r="FB729" s="1611"/>
      <c r="FC729" s="1611"/>
      <c r="FD729" s="1607"/>
      <c r="FE729" s="1606">
        <f t="shared" si="33"/>
        <v>1094</v>
      </c>
      <c r="FF729" s="1611"/>
      <c r="FG729" s="1611"/>
      <c r="FH729" s="1611"/>
      <c r="FI729" s="1607"/>
      <c r="FJ729" s="1606" t="str">
        <f t="shared" si="34"/>
        <v/>
      </c>
      <c r="FK729" s="1611"/>
      <c r="FL729" s="1611"/>
      <c r="FM729" s="1611"/>
      <c r="FN729" s="1607"/>
      <c r="FO729" s="1606" t="str">
        <f t="shared" si="35"/>
        <v/>
      </c>
      <c r="FP729" s="1611"/>
      <c r="FQ729" s="1611"/>
      <c r="FR729" s="1611"/>
      <c r="FS729" s="1607"/>
      <c r="FT729" s="1606" t="str">
        <f t="shared" si="36"/>
        <v/>
      </c>
      <c r="FU729" s="1611"/>
      <c r="FV729" s="1611"/>
      <c r="FW729" s="1611"/>
      <c r="FX729" s="1607"/>
      <c r="FY729" s="1606" t="str">
        <f t="shared" si="37"/>
        <v/>
      </c>
      <c r="FZ729" s="1611"/>
      <c r="GA729" s="1611"/>
      <c r="GB729" s="1611"/>
      <c r="GC729" s="1607"/>
    </row>
    <row r="730" spans="1:185" ht="12.9" customHeight="1">
      <c r="B730" s="1448" t="s">
        <v>163</v>
      </c>
      <c r="C730" s="1449"/>
      <c r="D730" s="1449"/>
      <c r="E730" s="1449"/>
      <c r="F730" s="1450"/>
      <c r="G730" s="1442">
        <v>10</v>
      </c>
      <c r="H730" s="1443"/>
      <c r="I730" s="1443"/>
      <c r="J730" s="1444"/>
      <c r="K730" s="1445">
        <v>794</v>
      </c>
      <c r="L730" s="1446"/>
      <c r="M730" s="1446"/>
      <c r="N730" s="1447"/>
      <c r="O730" s="1476">
        <v>2671</v>
      </c>
      <c r="P730" s="1477"/>
      <c r="Q730" s="1477"/>
      <c r="R730" s="1477"/>
      <c r="S730" s="1478"/>
      <c r="T730" s="1476">
        <v>84</v>
      </c>
      <c r="U730" s="1477"/>
      <c r="V730" s="1477"/>
      <c r="W730" s="1478"/>
      <c r="X730" s="1479">
        <f t="shared" si="10"/>
        <v>2755</v>
      </c>
      <c r="Y730" s="1480"/>
      <c r="Z730" s="1480"/>
      <c r="AA730" s="1480"/>
      <c r="AB730" s="1481"/>
      <c r="AC730" s="1482">
        <v>0.7</v>
      </c>
      <c r="AD730" s="1483"/>
      <c r="AE730" s="1483"/>
      <c r="AF730" s="1483"/>
      <c r="AG730" s="1484"/>
      <c r="AH730" s="1500">
        <f t="shared" si="38"/>
        <v>0.59580449826989623</v>
      </c>
      <c r="AI730" s="1501"/>
      <c r="AJ730" s="1502"/>
      <c r="AK730" s="1448" t="s">
        <v>589</v>
      </c>
      <c r="AL730" s="1449"/>
      <c r="AM730" s="1449"/>
      <c r="AN730" s="1449"/>
      <c r="AO730" s="1450"/>
      <c r="AP730" s="3"/>
      <c r="AQ730" s="3"/>
      <c r="AR730" s="3"/>
      <c r="AS730" s="3"/>
      <c r="AY730" s="116"/>
      <c r="AZ730" s="118">
        <f t="shared" si="11"/>
        <v>4624</v>
      </c>
      <c r="BA730" s="3"/>
      <c r="BB730" s="3"/>
      <c r="BC730" s="3"/>
      <c r="BD730" s="3"/>
      <c r="BE730" s="204"/>
      <c r="BF730" s="294">
        <f t="shared" si="12"/>
        <v>10</v>
      </c>
      <c r="BG730" s="297">
        <f t="shared" si="13"/>
        <v>8.9285714285714288E-2</v>
      </c>
      <c r="BH730" s="298">
        <f t="shared" si="14"/>
        <v>6.25E-2</v>
      </c>
      <c r="BI730" s="3"/>
      <c r="BJ730" s="3"/>
      <c r="BK730" s="3"/>
      <c r="BL730" s="3"/>
      <c r="BM730" s="3"/>
      <c r="BN730" s="3"/>
      <c r="BS730" s="294">
        <f t="shared" si="15"/>
        <v>10</v>
      </c>
      <c r="BT730" s="297">
        <f t="shared" si="16"/>
        <v>8.9285714285714288E-2</v>
      </c>
      <c r="BU730" s="298">
        <f t="shared" si="17"/>
        <v>5.3196830202669305E-2</v>
      </c>
      <c r="CC730" s="3"/>
      <c r="CD730" s="3"/>
      <c r="CE730" s="3"/>
      <c r="CF730" s="3"/>
      <c r="CG730" s="1606">
        <f t="shared" si="39"/>
        <v>0</v>
      </c>
      <c r="CH730" s="1607"/>
      <c r="CI730" s="1600">
        <f t="shared" si="40"/>
        <v>0</v>
      </c>
      <c r="CJ730" s="1601"/>
      <c r="CK730" s="1606">
        <f t="shared" si="18"/>
        <v>0</v>
      </c>
      <c r="CL730" s="1607"/>
      <c r="CM730" s="1600">
        <f t="shared" si="19"/>
        <v>0</v>
      </c>
      <c r="CN730" s="1601"/>
      <c r="CO730" s="3"/>
      <c r="CP730" s="1608">
        <f t="shared" si="20"/>
        <v>0</v>
      </c>
      <c r="CQ730" s="1609"/>
      <c r="CR730" s="1609"/>
      <c r="CS730" s="1609"/>
      <c r="CT730" s="1610"/>
      <c r="CU730" s="1598">
        <f t="shared" si="21"/>
        <v>0</v>
      </c>
      <c r="CV730" s="1598"/>
      <c r="CW730" s="1598"/>
      <c r="CX730" s="1598"/>
      <c r="CY730" s="1598"/>
      <c r="CZ730" s="1598">
        <f t="shared" si="22"/>
        <v>10</v>
      </c>
      <c r="DA730" s="1598"/>
      <c r="DB730" s="1598"/>
      <c r="DC730" s="1598"/>
      <c r="DD730" s="1598"/>
      <c r="DE730" s="1598">
        <f t="shared" si="23"/>
        <v>0</v>
      </c>
      <c r="DF730" s="1598"/>
      <c r="DG730" s="1598"/>
      <c r="DH730" s="1598"/>
      <c r="DI730" s="1598"/>
      <c r="DJ730" s="1598">
        <f t="shared" si="24"/>
        <v>0</v>
      </c>
      <c r="DK730" s="1598"/>
      <c r="DL730" s="1598"/>
      <c r="DM730" s="1598"/>
      <c r="DN730" s="1598"/>
      <c r="DO730" s="1598">
        <f t="shared" si="25"/>
        <v>0</v>
      </c>
      <c r="DP730" s="1598"/>
      <c r="DQ730" s="1598"/>
      <c r="DR730" s="1598"/>
      <c r="DS730" s="1598"/>
      <c r="DT730" s="6"/>
      <c r="DU730" s="1597">
        <f t="shared" si="26"/>
        <v>0</v>
      </c>
      <c r="DV730" s="1597"/>
      <c r="DW730" s="1597"/>
      <c r="DX730" s="1597"/>
      <c r="DY730" s="1597"/>
      <c r="DZ730" s="1597">
        <f t="shared" si="27"/>
        <v>0</v>
      </c>
      <c r="EA730" s="1597"/>
      <c r="EB730" s="1597"/>
      <c r="EC730" s="1597"/>
      <c r="ED730" s="1597"/>
      <c r="EE730" s="1597">
        <f t="shared" si="28"/>
        <v>0</v>
      </c>
      <c r="EF730" s="1597"/>
      <c r="EG730" s="1597"/>
      <c r="EH730" s="1597"/>
      <c r="EI730" s="1597"/>
      <c r="EJ730" s="1597">
        <f t="shared" si="29"/>
        <v>0</v>
      </c>
      <c r="EK730" s="1597"/>
      <c r="EL730" s="1597"/>
      <c r="EM730" s="1597"/>
      <c r="EN730" s="1597"/>
      <c r="EO730" s="1597">
        <f t="shared" si="30"/>
        <v>0</v>
      </c>
      <c r="EP730" s="1597"/>
      <c r="EQ730" s="1597"/>
      <c r="ER730" s="1597"/>
      <c r="ES730" s="1597"/>
      <c r="ET730" s="1597">
        <f t="shared" si="31"/>
        <v>0</v>
      </c>
      <c r="EU730" s="1597"/>
      <c r="EV730" s="1597"/>
      <c r="EW730" s="1597"/>
      <c r="EX730" s="1597"/>
      <c r="EZ730" s="1606" t="str">
        <f t="shared" si="32"/>
        <v/>
      </c>
      <c r="FA730" s="1611"/>
      <c r="FB730" s="1611"/>
      <c r="FC730" s="1611"/>
      <c r="FD730" s="1607"/>
      <c r="FE730" s="1606" t="str">
        <f t="shared" si="33"/>
        <v/>
      </c>
      <c r="FF730" s="1611"/>
      <c r="FG730" s="1611"/>
      <c r="FH730" s="1611"/>
      <c r="FI730" s="1607"/>
      <c r="FJ730" s="1606">
        <f t="shared" si="34"/>
        <v>2671</v>
      </c>
      <c r="FK730" s="1611"/>
      <c r="FL730" s="1611"/>
      <c r="FM730" s="1611"/>
      <c r="FN730" s="1607"/>
      <c r="FO730" s="1606" t="str">
        <f t="shared" si="35"/>
        <v/>
      </c>
      <c r="FP730" s="1611"/>
      <c r="FQ730" s="1611"/>
      <c r="FR730" s="1611"/>
      <c r="FS730" s="1607"/>
      <c r="FT730" s="1606" t="str">
        <f t="shared" si="36"/>
        <v/>
      </c>
      <c r="FU730" s="1611"/>
      <c r="FV730" s="1611"/>
      <c r="FW730" s="1611"/>
      <c r="FX730" s="1607"/>
      <c r="FY730" s="1606" t="str">
        <f t="shared" si="37"/>
        <v/>
      </c>
      <c r="FZ730" s="1611"/>
      <c r="GA730" s="1611"/>
      <c r="GB730" s="1611"/>
      <c r="GC730" s="1607"/>
    </row>
    <row r="731" spans="1:185" ht="12.9" customHeight="1">
      <c r="B731" s="1448" t="s">
        <v>163</v>
      </c>
      <c r="C731" s="1449"/>
      <c r="D731" s="1449"/>
      <c r="E731" s="1449"/>
      <c r="F731" s="1450"/>
      <c r="G731" s="1442">
        <v>26</v>
      </c>
      <c r="H731" s="1443"/>
      <c r="I731" s="1443"/>
      <c r="J731" s="1444"/>
      <c r="K731" s="1445">
        <v>794</v>
      </c>
      <c r="L731" s="1446"/>
      <c r="M731" s="1446"/>
      <c r="N731" s="1447"/>
      <c r="O731" s="1476">
        <v>2671</v>
      </c>
      <c r="P731" s="1477"/>
      <c r="Q731" s="1477"/>
      <c r="R731" s="1477"/>
      <c r="S731" s="1478"/>
      <c r="T731" s="1476">
        <v>84</v>
      </c>
      <c r="U731" s="1477"/>
      <c r="V731" s="1477"/>
      <c r="W731" s="1478"/>
      <c r="X731" s="1479">
        <f t="shared" si="10"/>
        <v>2755</v>
      </c>
      <c r="Y731" s="1480"/>
      <c r="Z731" s="1480"/>
      <c r="AA731" s="1480"/>
      <c r="AB731" s="1481"/>
      <c r="AC731" s="1482">
        <v>0.6</v>
      </c>
      <c r="AD731" s="1483"/>
      <c r="AE731" s="1483"/>
      <c r="AF731" s="1483"/>
      <c r="AG731" s="1484"/>
      <c r="AH731" s="1500">
        <f t="shared" si="38"/>
        <v>0.59580449826989623</v>
      </c>
      <c r="AI731" s="1501"/>
      <c r="AJ731" s="1502"/>
      <c r="AK731" s="1448" t="s">
        <v>589</v>
      </c>
      <c r="AL731" s="1449"/>
      <c r="AM731" s="1449"/>
      <c r="AN731" s="1449"/>
      <c r="AO731" s="1450"/>
      <c r="AP731" s="3"/>
      <c r="AQ731" s="3"/>
      <c r="AR731" s="3"/>
      <c r="AS731" s="3"/>
      <c r="AY731" s="116"/>
      <c r="AZ731" s="118">
        <f t="shared" si="11"/>
        <v>4624</v>
      </c>
      <c r="BA731" s="3"/>
      <c r="BB731" s="3"/>
      <c r="BC731" s="3"/>
      <c r="BD731" s="3"/>
      <c r="BE731" s="204"/>
      <c r="BF731" s="294">
        <f t="shared" si="12"/>
        <v>26</v>
      </c>
      <c r="BG731" s="297">
        <f t="shared" si="13"/>
        <v>0.23214285714285715</v>
      </c>
      <c r="BH731" s="298">
        <f t="shared" si="14"/>
        <v>0.13928571428571429</v>
      </c>
      <c r="BI731" s="3"/>
      <c r="BJ731" s="3"/>
      <c r="BK731" s="3"/>
      <c r="BL731" s="3"/>
      <c r="BM731" s="3"/>
      <c r="BN731" s="3"/>
      <c r="BS731" s="294">
        <f t="shared" si="15"/>
        <v>26</v>
      </c>
      <c r="BT731" s="297">
        <f t="shared" si="16"/>
        <v>0.23214285714285715</v>
      </c>
      <c r="BU731" s="298">
        <f t="shared" si="17"/>
        <v>0.13831175852694019</v>
      </c>
      <c r="CC731" s="3"/>
      <c r="CD731" s="3"/>
      <c r="CE731" s="3"/>
      <c r="CF731" s="3"/>
      <c r="CG731" s="1606">
        <f t="shared" si="39"/>
        <v>0</v>
      </c>
      <c r="CH731" s="1607"/>
      <c r="CI731" s="1600">
        <f t="shared" si="40"/>
        <v>0</v>
      </c>
      <c r="CJ731" s="1601"/>
      <c r="CK731" s="1606">
        <f t="shared" si="18"/>
        <v>0</v>
      </c>
      <c r="CL731" s="1607"/>
      <c r="CM731" s="1600">
        <f t="shared" si="19"/>
        <v>0</v>
      </c>
      <c r="CN731" s="1601"/>
      <c r="CO731" s="3"/>
      <c r="CP731" s="1608">
        <f t="shared" si="20"/>
        <v>0</v>
      </c>
      <c r="CQ731" s="1609"/>
      <c r="CR731" s="1609"/>
      <c r="CS731" s="1609"/>
      <c r="CT731" s="1610"/>
      <c r="CU731" s="1598">
        <f t="shared" si="21"/>
        <v>0</v>
      </c>
      <c r="CV731" s="1598"/>
      <c r="CW731" s="1598"/>
      <c r="CX731" s="1598"/>
      <c r="CY731" s="1598"/>
      <c r="CZ731" s="1598">
        <f t="shared" si="22"/>
        <v>26</v>
      </c>
      <c r="DA731" s="1598"/>
      <c r="DB731" s="1598"/>
      <c r="DC731" s="1598"/>
      <c r="DD731" s="1598"/>
      <c r="DE731" s="1598">
        <f t="shared" si="23"/>
        <v>0</v>
      </c>
      <c r="DF731" s="1598"/>
      <c r="DG731" s="1598"/>
      <c r="DH731" s="1598"/>
      <c r="DI731" s="1598"/>
      <c r="DJ731" s="1598">
        <f t="shared" si="24"/>
        <v>0</v>
      </c>
      <c r="DK731" s="1598"/>
      <c r="DL731" s="1598"/>
      <c r="DM731" s="1598"/>
      <c r="DN731" s="1598"/>
      <c r="DO731" s="1598">
        <f t="shared" si="25"/>
        <v>0</v>
      </c>
      <c r="DP731" s="1598"/>
      <c r="DQ731" s="1598"/>
      <c r="DR731" s="1598"/>
      <c r="DS731" s="1598"/>
      <c r="DT731" s="6"/>
      <c r="DU731" s="1597">
        <f t="shared" si="26"/>
        <v>0</v>
      </c>
      <c r="DV731" s="1597"/>
      <c r="DW731" s="1597"/>
      <c r="DX731" s="1597"/>
      <c r="DY731" s="1597"/>
      <c r="DZ731" s="1597">
        <f t="shared" si="27"/>
        <v>0</v>
      </c>
      <c r="EA731" s="1597"/>
      <c r="EB731" s="1597"/>
      <c r="EC731" s="1597"/>
      <c r="ED731" s="1597"/>
      <c r="EE731" s="1597">
        <f t="shared" si="28"/>
        <v>0</v>
      </c>
      <c r="EF731" s="1597"/>
      <c r="EG731" s="1597"/>
      <c r="EH731" s="1597"/>
      <c r="EI731" s="1597"/>
      <c r="EJ731" s="1597">
        <f t="shared" si="29"/>
        <v>0</v>
      </c>
      <c r="EK731" s="1597"/>
      <c r="EL731" s="1597"/>
      <c r="EM731" s="1597"/>
      <c r="EN731" s="1597"/>
      <c r="EO731" s="1597">
        <f t="shared" si="30"/>
        <v>0</v>
      </c>
      <c r="EP731" s="1597"/>
      <c r="EQ731" s="1597"/>
      <c r="ER731" s="1597"/>
      <c r="ES731" s="1597"/>
      <c r="ET731" s="1597">
        <f t="shared" si="31"/>
        <v>0</v>
      </c>
      <c r="EU731" s="1597"/>
      <c r="EV731" s="1597"/>
      <c r="EW731" s="1597"/>
      <c r="EX731" s="1597"/>
      <c r="EZ731" s="1606" t="str">
        <f t="shared" si="32"/>
        <v/>
      </c>
      <c r="FA731" s="1611"/>
      <c r="FB731" s="1611"/>
      <c r="FC731" s="1611"/>
      <c r="FD731" s="1607"/>
      <c r="FE731" s="1606" t="str">
        <f t="shared" si="33"/>
        <v/>
      </c>
      <c r="FF731" s="1611"/>
      <c r="FG731" s="1611"/>
      <c r="FH731" s="1611"/>
      <c r="FI731" s="1607"/>
      <c r="FJ731" s="1606">
        <f t="shared" si="34"/>
        <v>2671</v>
      </c>
      <c r="FK731" s="1611"/>
      <c r="FL731" s="1611"/>
      <c r="FM731" s="1611"/>
      <c r="FN731" s="1607"/>
      <c r="FO731" s="1606" t="str">
        <f t="shared" si="35"/>
        <v/>
      </c>
      <c r="FP731" s="1611"/>
      <c r="FQ731" s="1611"/>
      <c r="FR731" s="1611"/>
      <c r="FS731" s="1607"/>
      <c r="FT731" s="1606" t="str">
        <f t="shared" si="36"/>
        <v/>
      </c>
      <c r="FU731" s="1611"/>
      <c r="FV731" s="1611"/>
      <c r="FW731" s="1611"/>
      <c r="FX731" s="1607"/>
      <c r="FY731" s="1606" t="str">
        <f t="shared" si="37"/>
        <v/>
      </c>
      <c r="FZ731" s="1611"/>
      <c r="GA731" s="1611"/>
      <c r="GB731" s="1611"/>
      <c r="GC731" s="1607"/>
    </row>
    <row r="732" spans="1:185" ht="12.9" customHeight="1">
      <c r="B732" s="1448" t="s">
        <v>163</v>
      </c>
      <c r="C732" s="1449"/>
      <c r="D732" s="1449"/>
      <c r="E732" s="1449"/>
      <c r="F732" s="1450"/>
      <c r="G732" s="1442">
        <v>4</v>
      </c>
      <c r="H732" s="1443"/>
      <c r="I732" s="1443"/>
      <c r="J732" s="1444"/>
      <c r="K732" s="1445">
        <v>794</v>
      </c>
      <c r="L732" s="1446"/>
      <c r="M732" s="1446"/>
      <c r="N732" s="1447"/>
      <c r="O732" s="1476">
        <v>2228</v>
      </c>
      <c r="P732" s="1477"/>
      <c r="Q732" s="1477"/>
      <c r="R732" s="1477"/>
      <c r="S732" s="1478"/>
      <c r="T732" s="1476">
        <v>84</v>
      </c>
      <c r="U732" s="1477"/>
      <c r="V732" s="1477"/>
      <c r="W732" s="1478"/>
      <c r="X732" s="1479">
        <f t="shared" si="10"/>
        <v>2312</v>
      </c>
      <c r="Y732" s="1480"/>
      <c r="Z732" s="1480"/>
      <c r="AA732" s="1480"/>
      <c r="AB732" s="1481"/>
      <c r="AC732" s="1482">
        <v>0.5</v>
      </c>
      <c r="AD732" s="1483"/>
      <c r="AE732" s="1483"/>
      <c r="AF732" s="1483"/>
      <c r="AG732" s="1484"/>
      <c r="AH732" s="1500">
        <f t="shared" si="38"/>
        <v>0.5</v>
      </c>
      <c r="AI732" s="1501"/>
      <c r="AJ732" s="1502"/>
      <c r="AK732" s="1448" t="s">
        <v>589</v>
      </c>
      <c r="AL732" s="1449"/>
      <c r="AM732" s="1449"/>
      <c r="AN732" s="1449"/>
      <c r="AO732" s="1450"/>
      <c r="AP732" s="3"/>
      <c r="AQ732" s="3"/>
      <c r="AR732" s="3"/>
      <c r="AS732" s="3"/>
      <c r="AY732" s="116"/>
      <c r="AZ732" s="118">
        <f t="shared" si="11"/>
        <v>4624</v>
      </c>
      <c r="BA732" s="3"/>
      <c r="BB732" s="3"/>
      <c r="BC732" s="3"/>
      <c r="BD732" s="3"/>
      <c r="BE732" s="204"/>
      <c r="BF732" s="294">
        <f t="shared" si="12"/>
        <v>4</v>
      </c>
      <c r="BG732" s="297">
        <f t="shared" si="13"/>
        <v>3.5714285714285712E-2</v>
      </c>
      <c r="BH732" s="298">
        <f t="shared" si="14"/>
        <v>1.7857142857142856E-2</v>
      </c>
      <c r="BI732" s="3"/>
      <c r="BJ732" s="3"/>
      <c r="BK732" s="3"/>
      <c r="BL732" s="3"/>
      <c r="BM732" s="3"/>
      <c r="BN732" s="3"/>
      <c r="BS732" s="294">
        <f t="shared" si="15"/>
        <v>4</v>
      </c>
      <c r="BT732" s="297">
        <f t="shared" si="16"/>
        <v>3.5714285714285712E-2</v>
      </c>
      <c r="BU732" s="298">
        <f t="shared" si="17"/>
        <v>1.7857142857142856E-2</v>
      </c>
      <c r="CC732" s="3"/>
      <c r="CE732" s="3"/>
      <c r="CF732" s="3"/>
      <c r="CG732" s="1606">
        <f t="shared" si="39"/>
        <v>1</v>
      </c>
      <c r="CH732" s="1607"/>
      <c r="CI732" s="1600">
        <f t="shared" si="40"/>
        <v>4</v>
      </c>
      <c r="CJ732" s="1601"/>
      <c r="CK732" s="1606">
        <f t="shared" si="18"/>
        <v>0</v>
      </c>
      <c r="CL732" s="1607"/>
      <c r="CM732" s="1600">
        <f t="shared" si="19"/>
        <v>0</v>
      </c>
      <c r="CN732" s="1601"/>
      <c r="CO732" s="3"/>
      <c r="CP732" s="1608">
        <f t="shared" si="20"/>
        <v>0</v>
      </c>
      <c r="CQ732" s="1609"/>
      <c r="CR732" s="1609"/>
      <c r="CS732" s="1609"/>
      <c r="CT732" s="1610"/>
      <c r="CU732" s="1598">
        <f t="shared" si="21"/>
        <v>0</v>
      </c>
      <c r="CV732" s="1598"/>
      <c r="CW732" s="1598"/>
      <c r="CX732" s="1598"/>
      <c r="CY732" s="1598"/>
      <c r="CZ732" s="1598">
        <f t="shared" si="22"/>
        <v>4</v>
      </c>
      <c r="DA732" s="1598"/>
      <c r="DB732" s="1598"/>
      <c r="DC732" s="1598"/>
      <c r="DD732" s="1598"/>
      <c r="DE732" s="1598">
        <f t="shared" si="23"/>
        <v>0</v>
      </c>
      <c r="DF732" s="1598"/>
      <c r="DG732" s="1598"/>
      <c r="DH732" s="1598"/>
      <c r="DI732" s="1598"/>
      <c r="DJ732" s="1598">
        <f t="shared" si="24"/>
        <v>0</v>
      </c>
      <c r="DK732" s="1598"/>
      <c r="DL732" s="1598"/>
      <c r="DM732" s="1598"/>
      <c r="DN732" s="1598"/>
      <c r="DO732" s="1598">
        <f t="shared" si="25"/>
        <v>0</v>
      </c>
      <c r="DP732" s="1598"/>
      <c r="DQ732" s="1598"/>
      <c r="DR732" s="1598"/>
      <c r="DS732" s="1598"/>
      <c r="DT732" s="6"/>
      <c r="DU732" s="1597">
        <f t="shared" si="26"/>
        <v>0</v>
      </c>
      <c r="DV732" s="1597"/>
      <c r="DW732" s="1597"/>
      <c r="DX732" s="1597"/>
      <c r="DY732" s="1597"/>
      <c r="DZ732" s="1597">
        <f t="shared" si="27"/>
        <v>0</v>
      </c>
      <c r="EA732" s="1597"/>
      <c r="EB732" s="1597"/>
      <c r="EC732" s="1597"/>
      <c r="ED732" s="1597"/>
      <c r="EE732" s="1597">
        <f t="shared" si="28"/>
        <v>0</v>
      </c>
      <c r="EF732" s="1597"/>
      <c r="EG732" s="1597"/>
      <c r="EH732" s="1597"/>
      <c r="EI732" s="1597"/>
      <c r="EJ732" s="1597">
        <f t="shared" si="29"/>
        <v>0</v>
      </c>
      <c r="EK732" s="1597"/>
      <c r="EL732" s="1597"/>
      <c r="EM732" s="1597"/>
      <c r="EN732" s="1597"/>
      <c r="EO732" s="1597">
        <f t="shared" si="30"/>
        <v>0</v>
      </c>
      <c r="EP732" s="1597"/>
      <c r="EQ732" s="1597"/>
      <c r="ER732" s="1597"/>
      <c r="ES732" s="1597"/>
      <c r="ET732" s="1597">
        <f t="shared" si="31"/>
        <v>0</v>
      </c>
      <c r="EU732" s="1597"/>
      <c r="EV732" s="1597"/>
      <c r="EW732" s="1597"/>
      <c r="EX732" s="1597"/>
      <c r="EZ732" s="1606" t="str">
        <f t="shared" si="32"/>
        <v/>
      </c>
      <c r="FA732" s="1611"/>
      <c r="FB732" s="1611"/>
      <c r="FC732" s="1611"/>
      <c r="FD732" s="1607"/>
      <c r="FE732" s="1606" t="str">
        <f t="shared" si="33"/>
        <v/>
      </c>
      <c r="FF732" s="1611"/>
      <c r="FG732" s="1611"/>
      <c r="FH732" s="1611"/>
      <c r="FI732" s="1607"/>
      <c r="FJ732" s="1606">
        <f t="shared" si="34"/>
        <v>2228</v>
      </c>
      <c r="FK732" s="1611"/>
      <c r="FL732" s="1611"/>
      <c r="FM732" s="1611"/>
      <c r="FN732" s="1607"/>
      <c r="FO732" s="1606" t="str">
        <f t="shared" si="35"/>
        <v/>
      </c>
      <c r="FP732" s="1611"/>
      <c r="FQ732" s="1611"/>
      <c r="FR732" s="1611"/>
      <c r="FS732" s="1607"/>
      <c r="FT732" s="1606" t="str">
        <f t="shared" si="36"/>
        <v/>
      </c>
      <c r="FU732" s="1611"/>
      <c r="FV732" s="1611"/>
      <c r="FW732" s="1611"/>
      <c r="FX732" s="1607"/>
      <c r="FY732" s="1606" t="str">
        <f t="shared" si="37"/>
        <v/>
      </c>
      <c r="FZ732" s="1611"/>
      <c r="GA732" s="1611"/>
      <c r="GB732" s="1611"/>
      <c r="GC732" s="1607"/>
    </row>
    <row r="733" spans="1:185" ht="12.9" customHeight="1">
      <c r="B733" s="1448" t="s">
        <v>163</v>
      </c>
      <c r="C733" s="1449"/>
      <c r="D733" s="1449"/>
      <c r="E733" s="1449"/>
      <c r="F733" s="1450"/>
      <c r="G733" s="1442">
        <v>4</v>
      </c>
      <c r="H733" s="1443"/>
      <c r="I733" s="1443"/>
      <c r="J733" s="1444"/>
      <c r="K733" s="1445">
        <v>794</v>
      </c>
      <c r="L733" s="1446"/>
      <c r="M733" s="1446"/>
      <c r="N733" s="1447"/>
      <c r="O733" s="1476">
        <v>1303</v>
      </c>
      <c r="P733" s="1477"/>
      <c r="Q733" s="1477"/>
      <c r="R733" s="1477"/>
      <c r="S733" s="1478"/>
      <c r="T733" s="1476">
        <v>84</v>
      </c>
      <c r="U733" s="1477"/>
      <c r="V733" s="1477"/>
      <c r="W733" s="1478"/>
      <c r="X733" s="1479">
        <f t="shared" si="10"/>
        <v>1387</v>
      </c>
      <c r="Y733" s="1480"/>
      <c r="Z733" s="1480"/>
      <c r="AA733" s="1480"/>
      <c r="AB733" s="1481"/>
      <c r="AC733" s="1482">
        <v>0.3</v>
      </c>
      <c r="AD733" s="1483"/>
      <c r="AE733" s="1483"/>
      <c r="AF733" s="1483"/>
      <c r="AG733" s="1484"/>
      <c r="AH733" s="1500">
        <f t="shared" si="38"/>
        <v>0.29995674740484429</v>
      </c>
      <c r="AI733" s="1501"/>
      <c r="AJ733" s="1502"/>
      <c r="AK733" s="1448" t="s">
        <v>589</v>
      </c>
      <c r="AL733" s="1449"/>
      <c r="AM733" s="1449"/>
      <c r="AN733" s="1449"/>
      <c r="AO733" s="1450"/>
      <c r="AP733" s="3"/>
      <c r="AQ733" s="3"/>
      <c r="AR733" s="3"/>
      <c r="AS733" s="3"/>
      <c r="AY733" s="1075"/>
      <c r="AZ733" s="118">
        <f t="shared" si="11"/>
        <v>4624</v>
      </c>
      <c r="BA733" s="3"/>
      <c r="BB733" s="3"/>
      <c r="BC733" s="3"/>
      <c r="BD733" s="3"/>
      <c r="BE733" s="204"/>
      <c r="BF733" s="294">
        <f t="shared" si="12"/>
        <v>4</v>
      </c>
      <c r="BG733" s="297">
        <f t="shared" si="13"/>
        <v>3.5714285714285712E-2</v>
      </c>
      <c r="BH733" s="298">
        <f t="shared" si="14"/>
        <v>1.0714285714285713E-2</v>
      </c>
      <c r="BI733" s="3"/>
      <c r="BJ733" s="3"/>
      <c r="BK733" s="3"/>
      <c r="BL733" s="3"/>
      <c r="BM733" s="3"/>
      <c r="BN733" s="3"/>
      <c r="BS733" s="294">
        <f t="shared" si="15"/>
        <v>4</v>
      </c>
      <c r="BT733" s="297">
        <f t="shared" si="16"/>
        <v>3.5714285714285712E-2</v>
      </c>
      <c r="BU733" s="298">
        <f t="shared" si="17"/>
        <v>1.0712740978744438E-2</v>
      </c>
      <c r="BV733" s="292"/>
      <c r="BW733" s="3"/>
      <c r="BX733" s="3"/>
      <c r="BY733" s="3"/>
      <c r="BZ733" s="3"/>
      <c r="CA733" s="3"/>
      <c r="CB733" s="3"/>
      <c r="CC733" s="3"/>
      <c r="CE733" s="3"/>
      <c r="CF733" s="3"/>
      <c r="CG733" s="1606">
        <f t="shared" si="39"/>
        <v>0</v>
      </c>
      <c r="CH733" s="1607"/>
      <c r="CI733" s="1600">
        <f t="shared" si="40"/>
        <v>0</v>
      </c>
      <c r="CJ733" s="1601"/>
      <c r="CK733" s="1606">
        <f t="shared" si="18"/>
        <v>1</v>
      </c>
      <c r="CL733" s="1607"/>
      <c r="CM733" s="1600">
        <f t="shared" si="19"/>
        <v>4</v>
      </c>
      <c r="CN733" s="1601"/>
      <c r="CO733" s="3"/>
      <c r="CP733" s="1608">
        <f t="shared" si="20"/>
        <v>0</v>
      </c>
      <c r="CQ733" s="1609"/>
      <c r="CR733" s="1609"/>
      <c r="CS733" s="1609"/>
      <c r="CT733" s="1610"/>
      <c r="CU733" s="1598">
        <f t="shared" si="21"/>
        <v>0</v>
      </c>
      <c r="CV733" s="1598"/>
      <c r="CW733" s="1598"/>
      <c r="CX733" s="1598"/>
      <c r="CY733" s="1598"/>
      <c r="CZ733" s="1598">
        <f t="shared" si="22"/>
        <v>4</v>
      </c>
      <c r="DA733" s="1598"/>
      <c r="DB733" s="1598"/>
      <c r="DC733" s="1598"/>
      <c r="DD733" s="1598"/>
      <c r="DE733" s="1598">
        <f t="shared" si="23"/>
        <v>0</v>
      </c>
      <c r="DF733" s="1598"/>
      <c r="DG733" s="1598"/>
      <c r="DH733" s="1598"/>
      <c r="DI733" s="1598"/>
      <c r="DJ733" s="1598">
        <f t="shared" si="24"/>
        <v>0</v>
      </c>
      <c r="DK733" s="1598"/>
      <c r="DL733" s="1598"/>
      <c r="DM733" s="1598"/>
      <c r="DN733" s="1598"/>
      <c r="DO733" s="1598">
        <f t="shared" si="25"/>
        <v>0</v>
      </c>
      <c r="DP733" s="1598"/>
      <c r="DQ733" s="1598"/>
      <c r="DR733" s="1598"/>
      <c r="DS733" s="1598"/>
      <c r="DT733" s="6"/>
      <c r="DU733" s="1597">
        <f t="shared" si="26"/>
        <v>0</v>
      </c>
      <c r="DV733" s="1597"/>
      <c r="DW733" s="1597"/>
      <c r="DX733" s="1597"/>
      <c r="DY733" s="1597"/>
      <c r="DZ733" s="1597">
        <f t="shared" si="27"/>
        <v>0</v>
      </c>
      <c r="EA733" s="1597"/>
      <c r="EB733" s="1597"/>
      <c r="EC733" s="1597"/>
      <c r="ED733" s="1597"/>
      <c r="EE733" s="1597">
        <f t="shared" si="28"/>
        <v>4</v>
      </c>
      <c r="EF733" s="1597"/>
      <c r="EG733" s="1597"/>
      <c r="EH733" s="1597"/>
      <c r="EI733" s="1597"/>
      <c r="EJ733" s="1597">
        <f t="shared" si="29"/>
        <v>0</v>
      </c>
      <c r="EK733" s="1597"/>
      <c r="EL733" s="1597"/>
      <c r="EM733" s="1597"/>
      <c r="EN733" s="1597"/>
      <c r="EO733" s="1597">
        <f t="shared" si="30"/>
        <v>0</v>
      </c>
      <c r="EP733" s="1597"/>
      <c r="EQ733" s="1597"/>
      <c r="ER733" s="1597"/>
      <c r="ES733" s="1597"/>
      <c r="ET733" s="1597">
        <f t="shared" si="31"/>
        <v>0</v>
      </c>
      <c r="EU733" s="1597"/>
      <c r="EV733" s="1597"/>
      <c r="EW733" s="1597"/>
      <c r="EX733" s="1597"/>
      <c r="EZ733" s="1606" t="str">
        <f t="shared" si="32"/>
        <v/>
      </c>
      <c r="FA733" s="1611"/>
      <c r="FB733" s="1611"/>
      <c r="FC733" s="1611"/>
      <c r="FD733" s="1607"/>
      <c r="FE733" s="1606" t="str">
        <f t="shared" si="33"/>
        <v/>
      </c>
      <c r="FF733" s="1611"/>
      <c r="FG733" s="1611"/>
      <c r="FH733" s="1611"/>
      <c r="FI733" s="1607"/>
      <c r="FJ733" s="1606">
        <f t="shared" si="34"/>
        <v>1303</v>
      </c>
      <c r="FK733" s="1611"/>
      <c r="FL733" s="1611"/>
      <c r="FM733" s="1611"/>
      <c r="FN733" s="1607"/>
      <c r="FO733" s="1606" t="str">
        <f t="shared" si="35"/>
        <v/>
      </c>
      <c r="FP733" s="1611"/>
      <c r="FQ733" s="1611"/>
      <c r="FR733" s="1611"/>
      <c r="FS733" s="1607"/>
      <c r="FT733" s="1606" t="str">
        <f t="shared" si="36"/>
        <v/>
      </c>
      <c r="FU733" s="1611"/>
      <c r="FV733" s="1611"/>
      <c r="FW733" s="1611"/>
      <c r="FX733" s="1607"/>
      <c r="FY733" s="1606" t="str">
        <f t="shared" si="37"/>
        <v/>
      </c>
      <c r="FZ733" s="1611"/>
      <c r="GA733" s="1611"/>
      <c r="GB733" s="1611"/>
      <c r="GC733" s="1607"/>
    </row>
    <row r="734" spans="1:185" ht="12.9" customHeight="1">
      <c r="B734" s="1448" t="s">
        <v>164</v>
      </c>
      <c r="C734" s="1449"/>
      <c r="D734" s="1449"/>
      <c r="E734" s="1449"/>
      <c r="F734" s="1450"/>
      <c r="G734" s="1442">
        <v>10</v>
      </c>
      <c r="H734" s="1443"/>
      <c r="I734" s="1443"/>
      <c r="J734" s="1444"/>
      <c r="K734" s="1445">
        <v>1031</v>
      </c>
      <c r="L734" s="1446"/>
      <c r="M734" s="1446"/>
      <c r="N734" s="1447"/>
      <c r="O734" s="1476">
        <v>3159</v>
      </c>
      <c r="P734" s="1477"/>
      <c r="Q734" s="1477"/>
      <c r="R734" s="1477"/>
      <c r="S734" s="1478"/>
      <c r="T734" s="1476">
        <v>107</v>
      </c>
      <c r="U734" s="1477"/>
      <c r="V734" s="1477"/>
      <c r="W734" s="1478"/>
      <c r="X734" s="1479">
        <f t="shared" si="10"/>
        <v>3266</v>
      </c>
      <c r="Y734" s="1480"/>
      <c r="Z734" s="1480"/>
      <c r="AA734" s="1480"/>
      <c r="AB734" s="1481"/>
      <c r="AC734" s="1482">
        <v>0.7</v>
      </c>
      <c r="AD734" s="1483"/>
      <c r="AE734" s="1483"/>
      <c r="AF734" s="1483"/>
      <c r="AG734" s="1484"/>
      <c r="AH734" s="1500">
        <f t="shared" si="38"/>
        <v>0.61138150505428679</v>
      </c>
      <c r="AI734" s="1501"/>
      <c r="AJ734" s="1502"/>
      <c r="AK734" s="1448" t="s">
        <v>589</v>
      </c>
      <c r="AL734" s="1449"/>
      <c r="AM734" s="1449"/>
      <c r="AN734" s="1449"/>
      <c r="AO734" s="1450"/>
      <c r="AP734" s="3"/>
      <c r="AQ734" s="3"/>
      <c r="AR734" s="3"/>
      <c r="AS734" s="3"/>
      <c r="AY734" s="1075"/>
      <c r="AZ734" s="118">
        <f t="shared" si="11"/>
        <v>5342</v>
      </c>
      <c r="BA734" s="3"/>
      <c r="BB734" s="3"/>
      <c r="BC734" s="3"/>
      <c r="BD734" s="3"/>
      <c r="BE734" s="204"/>
      <c r="BF734" s="294">
        <f t="shared" si="12"/>
        <v>10</v>
      </c>
      <c r="BG734" s="297">
        <f t="shared" si="13"/>
        <v>8.9285714285714288E-2</v>
      </c>
      <c r="BH734" s="298">
        <f t="shared" si="14"/>
        <v>6.25E-2</v>
      </c>
      <c r="BI734" s="3"/>
      <c r="BJ734" s="3"/>
      <c r="BK734" s="3"/>
      <c r="BL734" s="3"/>
      <c r="BM734" s="3"/>
      <c r="BN734" s="3"/>
      <c r="BS734" s="294">
        <f t="shared" si="15"/>
        <v>10</v>
      </c>
      <c r="BT734" s="297">
        <f t="shared" si="16"/>
        <v>8.9285714285714288E-2</v>
      </c>
      <c r="BU734" s="298">
        <f t="shared" si="17"/>
        <v>5.4587634379847039E-2</v>
      </c>
      <c r="BV734" s="3"/>
      <c r="BW734" s="3"/>
      <c r="BX734" s="3"/>
      <c r="BY734" s="3"/>
      <c r="BZ734" s="3"/>
      <c r="CA734" s="3"/>
      <c r="CB734" s="3"/>
      <c r="CC734" s="3"/>
      <c r="CE734" s="3"/>
      <c r="CF734" s="3"/>
      <c r="CG734" s="1606">
        <f t="shared" si="39"/>
        <v>0</v>
      </c>
      <c r="CH734" s="1607"/>
      <c r="CI734" s="1600">
        <f t="shared" si="40"/>
        <v>0</v>
      </c>
      <c r="CJ734" s="1601"/>
      <c r="CK734" s="1606">
        <f t="shared" si="18"/>
        <v>0</v>
      </c>
      <c r="CL734" s="1607"/>
      <c r="CM734" s="1600">
        <f t="shared" si="19"/>
        <v>0</v>
      </c>
      <c r="CN734" s="1601"/>
      <c r="CO734" s="3"/>
      <c r="CP734" s="1608">
        <f t="shared" si="20"/>
        <v>0</v>
      </c>
      <c r="CQ734" s="1609"/>
      <c r="CR734" s="1609"/>
      <c r="CS734" s="1609"/>
      <c r="CT734" s="1610"/>
      <c r="CU734" s="1598">
        <f t="shared" si="21"/>
        <v>0</v>
      </c>
      <c r="CV734" s="1598"/>
      <c r="CW734" s="1598"/>
      <c r="CX734" s="1598"/>
      <c r="CY734" s="1598"/>
      <c r="CZ734" s="1598">
        <f t="shared" si="22"/>
        <v>0</v>
      </c>
      <c r="DA734" s="1598"/>
      <c r="DB734" s="1598"/>
      <c r="DC734" s="1598"/>
      <c r="DD734" s="1598"/>
      <c r="DE734" s="1598">
        <f t="shared" si="23"/>
        <v>10</v>
      </c>
      <c r="DF734" s="1598"/>
      <c r="DG734" s="1598"/>
      <c r="DH734" s="1598"/>
      <c r="DI734" s="1598"/>
      <c r="DJ734" s="1598">
        <f t="shared" si="24"/>
        <v>0</v>
      </c>
      <c r="DK734" s="1598"/>
      <c r="DL734" s="1598"/>
      <c r="DM734" s="1598"/>
      <c r="DN734" s="1598"/>
      <c r="DO734" s="1598">
        <f t="shared" si="25"/>
        <v>0</v>
      </c>
      <c r="DP734" s="1598"/>
      <c r="DQ734" s="1598"/>
      <c r="DR734" s="1598"/>
      <c r="DS734" s="1598"/>
      <c r="DT734" s="6"/>
      <c r="DU734" s="1597">
        <f t="shared" si="26"/>
        <v>0</v>
      </c>
      <c r="DV734" s="1597"/>
      <c r="DW734" s="1597"/>
      <c r="DX734" s="1597"/>
      <c r="DY734" s="1597"/>
      <c r="DZ734" s="1597">
        <f t="shared" si="27"/>
        <v>0</v>
      </c>
      <c r="EA734" s="1597"/>
      <c r="EB734" s="1597"/>
      <c r="EC734" s="1597"/>
      <c r="ED734" s="1597"/>
      <c r="EE734" s="1597">
        <f t="shared" si="28"/>
        <v>0</v>
      </c>
      <c r="EF734" s="1597"/>
      <c r="EG734" s="1597"/>
      <c r="EH734" s="1597"/>
      <c r="EI734" s="1597"/>
      <c r="EJ734" s="1597">
        <f t="shared" si="29"/>
        <v>0</v>
      </c>
      <c r="EK734" s="1597"/>
      <c r="EL734" s="1597"/>
      <c r="EM734" s="1597"/>
      <c r="EN734" s="1597"/>
      <c r="EO734" s="1597">
        <f t="shared" si="30"/>
        <v>0</v>
      </c>
      <c r="EP734" s="1597"/>
      <c r="EQ734" s="1597"/>
      <c r="ER734" s="1597"/>
      <c r="ES734" s="1597"/>
      <c r="ET734" s="1597">
        <f t="shared" si="31"/>
        <v>0</v>
      </c>
      <c r="EU734" s="1597"/>
      <c r="EV734" s="1597"/>
      <c r="EW734" s="1597"/>
      <c r="EX734" s="1597"/>
      <c r="EY734" s="4"/>
      <c r="EZ734" s="1606" t="str">
        <f t="shared" si="32"/>
        <v/>
      </c>
      <c r="FA734" s="1611"/>
      <c r="FB734" s="1611"/>
      <c r="FC734" s="1611"/>
      <c r="FD734" s="1607"/>
      <c r="FE734" s="1606" t="str">
        <f t="shared" si="33"/>
        <v/>
      </c>
      <c r="FF734" s="1611"/>
      <c r="FG734" s="1611"/>
      <c r="FH734" s="1611"/>
      <c r="FI734" s="1607"/>
      <c r="FJ734" s="1606" t="str">
        <f t="shared" si="34"/>
        <v/>
      </c>
      <c r="FK734" s="1611"/>
      <c r="FL734" s="1611"/>
      <c r="FM734" s="1611"/>
      <c r="FN734" s="1607"/>
      <c r="FO734" s="1606">
        <f t="shared" si="35"/>
        <v>3159</v>
      </c>
      <c r="FP734" s="1611"/>
      <c r="FQ734" s="1611"/>
      <c r="FR734" s="1611"/>
      <c r="FS734" s="1607"/>
      <c r="FT734" s="1606" t="str">
        <f t="shared" si="36"/>
        <v/>
      </c>
      <c r="FU734" s="1611"/>
      <c r="FV734" s="1611"/>
      <c r="FW734" s="1611"/>
      <c r="FX734" s="1607"/>
      <c r="FY734" s="1606" t="str">
        <f t="shared" si="37"/>
        <v/>
      </c>
      <c r="FZ734" s="1611"/>
      <c r="GA734" s="1611"/>
      <c r="GB734" s="1611"/>
      <c r="GC734" s="1607"/>
    </row>
    <row r="735" spans="1:185" ht="12.9" customHeight="1">
      <c r="A735" s="4"/>
      <c r="B735" s="1448" t="s">
        <v>164</v>
      </c>
      <c r="C735" s="1449"/>
      <c r="D735" s="1449"/>
      <c r="E735" s="1449"/>
      <c r="F735" s="1450"/>
      <c r="G735" s="1442">
        <v>31</v>
      </c>
      <c r="H735" s="1443"/>
      <c r="I735" s="1443"/>
      <c r="J735" s="1444"/>
      <c r="K735" s="1445">
        <v>1031</v>
      </c>
      <c r="L735" s="1446"/>
      <c r="M735" s="1446"/>
      <c r="N735" s="1447"/>
      <c r="O735" s="1476">
        <v>3099</v>
      </c>
      <c r="P735" s="1477"/>
      <c r="Q735" s="1477"/>
      <c r="R735" s="1477"/>
      <c r="S735" s="1478"/>
      <c r="T735" s="1476">
        <v>107</v>
      </c>
      <c r="U735" s="1477"/>
      <c r="V735" s="1477"/>
      <c r="W735" s="1478"/>
      <c r="X735" s="1479">
        <f t="shared" si="10"/>
        <v>3206</v>
      </c>
      <c r="Y735" s="1480"/>
      <c r="Z735" s="1480"/>
      <c r="AA735" s="1480"/>
      <c r="AB735" s="1481"/>
      <c r="AC735" s="1482">
        <v>0.6</v>
      </c>
      <c r="AD735" s="1483"/>
      <c r="AE735" s="1483"/>
      <c r="AF735" s="1483"/>
      <c r="AG735" s="1484"/>
      <c r="AH735" s="1500">
        <f t="shared" si="38"/>
        <v>0.60014975664545112</v>
      </c>
      <c r="AI735" s="1501"/>
      <c r="AJ735" s="1502"/>
      <c r="AK735" s="1448" t="s">
        <v>589</v>
      </c>
      <c r="AL735" s="1449"/>
      <c r="AM735" s="1449"/>
      <c r="AN735" s="1449"/>
      <c r="AO735" s="1450"/>
      <c r="AP735" s="3"/>
      <c r="AQ735" s="3"/>
      <c r="AR735" s="3"/>
      <c r="AS735" s="3"/>
      <c r="AY735" s="1075"/>
      <c r="AZ735" s="118">
        <f t="shared" si="11"/>
        <v>5342</v>
      </c>
      <c r="BA735" s="3"/>
      <c r="BB735" s="3"/>
      <c r="BC735" s="3"/>
      <c r="BD735" s="3"/>
      <c r="BE735" s="204"/>
      <c r="BF735" s="294">
        <f t="shared" si="12"/>
        <v>31</v>
      </c>
      <c r="BG735" s="297">
        <f t="shared" si="13"/>
        <v>0.2767857142857143</v>
      </c>
      <c r="BH735" s="298">
        <f t="shared" si="14"/>
        <v>0.16607142857142856</v>
      </c>
      <c r="BI735" s="3"/>
      <c r="BJ735" s="3"/>
      <c r="BK735" s="3"/>
      <c r="BL735" s="3"/>
      <c r="BM735" s="3"/>
      <c r="BN735" s="3"/>
      <c r="BS735" s="294">
        <f t="shared" si="15"/>
        <v>31</v>
      </c>
      <c r="BT735" s="297">
        <f t="shared" si="16"/>
        <v>0.2767857142857143</v>
      </c>
      <c r="BU735" s="298">
        <f t="shared" si="17"/>
        <v>0.16611287907150879</v>
      </c>
      <c r="BV735" s="3"/>
      <c r="BW735" s="3"/>
      <c r="BX735" s="3"/>
      <c r="BY735" s="3"/>
      <c r="BZ735" s="3"/>
      <c r="CA735" s="3"/>
      <c r="CB735" s="3"/>
      <c r="CC735" s="3"/>
      <c r="CE735" s="3"/>
      <c r="CF735" s="3"/>
      <c r="CG735" s="1606">
        <f t="shared" si="39"/>
        <v>0</v>
      </c>
      <c r="CH735" s="1607"/>
      <c r="CI735" s="1600">
        <f t="shared" si="40"/>
        <v>0</v>
      </c>
      <c r="CJ735" s="1601"/>
      <c r="CK735" s="1606">
        <f t="shared" si="18"/>
        <v>0</v>
      </c>
      <c r="CL735" s="1607"/>
      <c r="CM735" s="1600">
        <f t="shared" si="19"/>
        <v>0</v>
      </c>
      <c r="CN735" s="1601"/>
      <c r="CO735" s="3"/>
      <c r="CP735" s="1608">
        <f t="shared" si="20"/>
        <v>0</v>
      </c>
      <c r="CQ735" s="1609"/>
      <c r="CR735" s="1609"/>
      <c r="CS735" s="1609"/>
      <c r="CT735" s="1610"/>
      <c r="CU735" s="1598">
        <f t="shared" si="21"/>
        <v>0</v>
      </c>
      <c r="CV735" s="1598"/>
      <c r="CW735" s="1598"/>
      <c r="CX735" s="1598"/>
      <c r="CY735" s="1598"/>
      <c r="CZ735" s="1598">
        <f t="shared" si="22"/>
        <v>0</v>
      </c>
      <c r="DA735" s="1598"/>
      <c r="DB735" s="1598"/>
      <c r="DC735" s="1598"/>
      <c r="DD735" s="1598"/>
      <c r="DE735" s="1598">
        <f t="shared" si="23"/>
        <v>31</v>
      </c>
      <c r="DF735" s="1598"/>
      <c r="DG735" s="1598"/>
      <c r="DH735" s="1598"/>
      <c r="DI735" s="1598"/>
      <c r="DJ735" s="1598">
        <f t="shared" si="24"/>
        <v>0</v>
      </c>
      <c r="DK735" s="1598"/>
      <c r="DL735" s="1598"/>
      <c r="DM735" s="1598"/>
      <c r="DN735" s="1598"/>
      <c r="DO735" s="1598">
        <f t="shared" si="25"/>
        <v>0</v>
      </c>
      <c r="DP735" s="1598"/>
      <c r="DQ735" s="1598"/>
      <c r="DR735" s="1598"/>
      <c r="DS735" s="1598"/>
      <c r="DT735" s="6"/>
      <c r="DU735" s="1597">
        <f t="shared" si="26"/>
        <v>0</v>
      </c>
      <c r="DV735" s="1597"/>
      <c r="DW735" s="1597"/>
      <c r="DX735" s="1597"/>
      <c r="DY735" s="1597"/>
      <c r="DZ735" s="1597">
        <f t="shared" si="27"/>
        <v>0</v>
      </c>
      <c r="EA735" s="1597"/>
      <c r="EB735" s="1597"/>
      <c r="EC735" s="1597"/>
      <c r="ED735" s="1597"/>
      <c r="EE735" s="1597">
        <f t="shared" si="28"/>
        <v>0</v>
      </c>
      <c r="EF735" s="1597"/>
      <c r="EG735" s="1597"/>
      <c r="EH735" s="1597"/>
      <c r="EI735" s="1597"/>
      <c r="EJ735" s="1597">
        <f t="shared" si="29"/>
        <v>0</v>
      </c>
      <c r="EK735" s="1597"/>
      <c r="EL735" s="1597"/>
      <c r="EM735" s="1597"/>
      <c r="EN735" s="1597"/>
      <c r="EO735" s="1597">
        <f t="shared" si="30"/>
        <v>0</v>
      </c>
      <c r="EP735" s="1597"/>
      <c r="EQ735" s="1597"/>
      <c r="ER735" s="1597"/>
      <c r="ES735" s="1597"/>
      <c r="ET735" s="1597">
        <f t="shared" si="31"/>
        <v>0</v>
      </c>
      <c r="EU735" s="1597"/>
      <c r="EV735" s="1597"/>
      <c r="EW735" s="1597"/>
      <c r="EX735" s="1597"/>
      <c r="EY735" s="4"/>
      <c r="EZ735" s="1606" t="str">
        <f t="shared" si="32"/>
        <v/>
      </c>
      <c r="FA735" s="1611"/>
      <c r="FB735" s="1611"/>
      <c r="FC735" s="1611"/>
      <c r="FD735" s="1607"/>
      <c r="FE735" s="1606" t="str">
        <f t="shared" si="33"/>
        <v/>
      </c>
      <c r="FF735" s="1611"/>
      <c r="FG735" s="1611"/>
      <c r="FH735" s="1611"/>
      <c r="FI735" s="1607"/>
      <c r="FJ735" s="1606" t="str">
        <f t="shared" si="34"/>
        <v/>
      </c>
      <c r="FK735" s="1611"/>
      <c r="FL735" s="1611"/>
      <c r="FM735" s="1611"/>
      <c r="FN735" s="1607"/>
      <c r="FO735" s="1606">
        <f t="shared" si="35"/>
        <v>3099</v>
      </c>
      <c r="FP735" s="1611"/>
      <c r="FQ735" s="1611"/>
      <c r="FR735" s="1611"/>
      <c r="FS735" s="1607"/>
      <c r="FT735" s="1606" t="str">
        <f t="shared" si="36"/>
        <v/>
      </c>
      <c r="FU735" s="1611"/>
      <c r="FV735" s="1611"/>
      <c r="FW735" s="1611"/>
      <c r="FX735" s="1607"/>
      <c r="FY735" s="1606" t="str">
        <f t="shared" si="37"/>
        <v/>
      </c>
      <c r="FZ735" s="1611"/>
      <c r="GA735" s="1611"/>
      <c r="GB735" s="1611"/>
      <c r="GC735" s="1607"/>
    </row>
    <row r="736" spans="1:185" ht="12.9" customHeight="1">
      <c r="A736" s="4"/>
      <c r="B736" s="1448" t="s">
        <v>164</v>
      </c>
      <c r="C736" s="1449"/>
      <c r="D736" s="1449"/>
      <c r="E736" s="1449"/>
      <c r="F736" s="1450"/>
      <c r="G736" s="1442">
        <v>6</v>
      </c>
      <c r="H736" s="1443"/>
      <c r="I736" s="1443"/>
      <c r="J736" s="1444"/>
      <c r="K736" s="1445">
        <v>1031</v>
      </c>
      <c r="L736" s="1446"/>
      <c r="M736" s="1446"/>
      <c r="N736" s="1447"/>
      <c r="O736" s="1476">
        <v>2564</v>
      </c>
      <c r="P736" s="1477"/>
      <c r="Q736" s="1477"/>
      <c r="R736" s="1477"/>
      <c r="S736" s="1478"/>
      <c r="T736" s="1476">
        <v>107</v>
      </c>
      <c r="U736" s="1477"/>
      <c r="V736" s="1477"/>
      <c r="W736" s="1478"/>
      <c r="X736" s="1479">
        <f t="shared" si="10"/>
        <v>2671</v>
      </c>
      <c r="Y736" s="1480"/>
      <c r="Z736" s="1480"/>
      <c r="AA736" s="1480"/>
      <c r="AB736" s="1481"/>
      <c r="AC736" s="1482">
        <v>0.5</v>
      </c>
      <c r="AD736" s="1483"/>
      <c r="AE736" s="1483"/>
      <c r="AF736" s="1483"/>
      <c r="AG736" s="1484"/>
      <c r="AH736" s="1500">
        <f t="shared" si="38"/>
        <v>0.5</v>
      </c>
      <c r="AI736" s="1501"/>
      <c r="AJ736" s="1502"/>
      <c r="AK736" s="1448" t="s">
        <v>589</v>
      </c>
      <c r="AL736" s="1449"/>
      <c r="AM736" s="1449"/>
      <c r="AN736" s="1449"/>
      <c r="AO736" s="1450"/>
      <c r="AP736" s="3"/>
      <c r="AQ736" s="3"/>
      <c r="AR736" s="3"/>
      <c r="AS736" s="3"/>
      <c r="AY736" s="1075"/>
      <c r="AZ736" s="118">
        <f t="shared" si="11"/>
        <v>5342</v>
      </c>
      <c r="BA736" s="3"/>
      <c r="BB736" s="3"/>
      <c r="BC736" s="3"/>
      <c r="BD736" s="3"/>
      <c r="BE736" s="204"/>
      <c r="BF736" s="294">
        <f t="shared" si="12"/>
        <v>6</v>
      </c>
      <c r="BG736" s="297">
        <f t="shared" si="13"/>
        <v>5.3571428571428568E-2</v>
      </c>
      <c r="BH736" s="298">
        <f t="shared" si="14"/>
        <v>2.6785714285714284E-2</v>
      </c>
      <c r="BI736" s="3"/>
      <c r="BJ736" s="3"/>
      <c r="BK736" s="3"/>
      <c r="BL736" s="3"/>
      <c r="BM736" s="3"/>
      <c r="BN736" s="3"/>
      <c r="BS736" s="294">
        <f t="shared" si="15"/>
        <v>6</v>
      </c>
      <c r="BT736" s="297">
        <f t="shared" si="16"/>
        <v>5.3571428571428568E-2</v>
      </c>
      <c r="BU736" s="298">
        <f t="shared" si="17"/>
        <v>2.6785714285714284E-2</v>
      </c>
      <c r="BV736" s="3"/>
      <c r="BW736" s="3"/>
      <c r="BX736" s="3"/>
      <c r="BY736" s="3"/>
      <c r="BZ736" s="3"/>
      <c r="CA736" s="3"/>
      <c r="CB736" s="3"/>
      <c r="CC736" s="3"/>
      <c r="CE736" s="3"/>
      <c r="CF736" s="3"/>
      <c r="CG736" s="1606">
        <f t="shared" si="39"/>
        <v>1</v>
      </c>
      <c r="CH736" s="1607"/>
      <c r="CI736" s="1600">
        <f t="shared" si="40"/>
        <v>6</v>
      </c>
      <c r="CJ736" s="1601"/>
      <c r="CK736" s="1606">
        <f t="shared" si="18"/>
        <v>0</v>
      </c>
      <c r="CL736" s="1607"/>
      <c r="CM736" s="1600">
        <f t="shared" si="19"/>
        <v>0</v>
      </c>
      <c r="CN736" s="1601"/>
      <c r="CO736" s="3"/>
      <c r="CP736" s="1608">
        <f t="shared" si="20"/>
        <v>0</v>
      </c>
      <c r="CQ736" s="1609"/>
      <c r="CR736" s="1609"/>
      <c r="CS736" s="1609"/>
      <c r="CT736" s="1610"/>
      <c r="CU736" s="1598">
        <f t="shared" si="21"/>
        <v>0</v>
      </c>
      <c r="CV736" s="1598"/>
      <c r="CW736" s="1598"/>
      <c r="CX736" s="1598"/>
      <c r="CY736" s="1598"/>
      <c r="CZ736" s="1598">
        <f t="shared" si="22"/>
        <v>0</v>
      </c>
      <c r="DA736" s="1598"/>
      <c r="DB736" s="1598"/>
      <c r="DC736" s="1598"/>
      <c r="DD736" s="1598"/>
      <c r="DE736" s="1598">
        <f t="shared" si="23"/>
        <v>6</v>
      </c>
      <c r="DF736" s="1598"/>
      <c r="DG736" s="1598"/>
      <c r="DH736" s="1598"/>
      <c r="DI736" s="1598"/>
      <c r="DJ736" s="1598">
        <f t="shared" si="24"/>
        <v>0</v>
      </c>
      <c r="DK736" s="1598"/>
      <c r="DL736" s="1598"/>
      <c r="DM736" s="1598"/>
      <c r="DN736" s="1598"/>
      <c r="DO736" s="1598">
        <f t="shared" si="25"/>
        <v>0</v>
      </c>
      <c r="DP736" s="1598"/>
      <c r="DQ736" s="1598"/>
      <c r="DR736" s="1598"/>
      <c r="DS736" s="1598"/>
      <c r="DT736" s="6"/>
      <c r="DU736" s="1597">
        <f t="shared" si="26"/>
        <v>0</v>
      </c>
      <c r="DV736" s="1597"/>
      <c r="DW736" s="1597"/>
      <c r="DX736" s="1597"/>
      <c r="DY736" s="1597"/>
      <c r="DZ736" s="1597">
        <f t="shared" si="27"/>
        <v>0</v>
      </c>
      <c r="EA736" s="1597"/>
      <c r="EB736" s="1597"/>
      <c r="EC736" s="1597"/>
      <c r="ED736" s="1597"/>
      <c r="EE736" s="1597">
        <f t="shared" si="28"/>
        <v>0</v>
      </c>
      <c r="EF736" s="1597"/>
      <c r="EG736" s="1597"/>
      <c r="EH736" s="1597"/>
      <c r="EI736" s="1597"/>
      <c r="EJ736" s="1597">
        <f t="shared" si="29"/>
        <v>0</v>
      </c>
      <c r="EK736" s="1597"/>
      <c r="EL736" s="1597"/>
      <c r="EM736" s="1597"/>
      <c r="EN736" s="1597"/>
      <c r="EO736" s="1597">
        <f t="shared" si="30"/>
        <v>0</v>
      </c>
      <c r="EP736" s="1597"/>
      <c r="EQ736" s="1597"/>
      <c r="ER736" s="1597"/>
      <c r="ES736" s="1597"/>
      <c r="ET736" s="1597">
        <f t="shared" si="31"/>
        <v>0</v>
      </c>
      <c r="EU736" s="1597"/>
      <c r="EV736" s="1597"/>
      <c r="EW736" s="1597"/>
      <c r="EX736" s="1597"/>
      <c r="EY736" s="4"/>
      <c r="EZ736" s="1606" t="str">
        <f t="shared" si="32"/>
        <v/>
      </c>
      <c r="FA736" s="1611"/>
      <c r="FB736" s="1611"/>
      <c r="FC736" s="1611"/>
      <c r="FD736" s="1607"/>
      <c r="FE736" s="1606" t="str">
        <f t="shared" si="33"/>
        <v/>
      </c>
      <c r="FF736" s="1611"/>
      <c r="FG736" s="1611"/>
      <c r="FH736" s="1611"/>
      <c r="FI736" s="1607"/>
      <c r="FJ736" s="1606" t="str">
        <f t="shared" si="34"/>
        <v/>
      </c>
      <c r="FK736" s="1611"/>
      <c r="FL736" s="1611"/>
      <c r="FM736" s="1611"/>
      <c r="FN736" s="1607"/>
      <c r="FO736" s="1606">
        <f t="shared" si="35"/>
        <v>2564</v>
      </c>
      <c r="FP736" s="1611"/>
      <c r="FQ736" s="1611"/>
      <c r="FR736" s="1611"/>
      <c r="FS736" s="1607"/>
      <c r="FT736" s="1606" t="str">
        <f t="shared" si="36"/>
        <v/>
      </c>
      <c r="FU736" s="1611"/>
      <c r="FV736" s="1611"/>
      <c r="FW736" s="1611"/>
      <c r="FX736" s="1607"/>
      <c r="FY736" s="1606" t="str">
        <f t="shared" si="37"/>
        <v/>
      </c>
      <c r="FZ736" s="1611"/>
      <c r="GA736" s="1611"/>
      <c r="GB736" s="1611"/>
      <c r="GC736" s="1607"/>
    </row>
    <row r="737" spans="1:185" ht="12.9" customHeight="1">
      <c r="A737" s="4"/>
      <c r="B737" s="1448" t="s">
        <v>164</v>
      </c>
      <c r="C737" s="1449"/>
      <c r="D737" s="1449"/>
      <c r="E737" s="1449"/>
      <c r="F737" s="1450"/>
      <c r="G737" s="1442">
        <v>6</v>
      </c>
      <c r="H737" s="1443"/>
      <c r="I737" s="1443"/>
      <c r="J737" s="1444"/>
      <c r="K737" s="1445">
        <v>1031</v>
      </c>
      <c r="L737" s="1446"/>
      <c r="M737" s="1446"/>
      <c r="N737" s="1447"/>
      <c r="O737" s="1476">
        <v>1496</v>
      </c>
      <c r="P737" s="1477"/>
      <c r="Q737" s="1477"/>
      <c r="R737" s="1477"/>
      <c r="S737" s="1478"/>
      <c r="T737" s="1476">
        <v>107</v>
      </c>
      <c r="U737" s="1477"/>
      <c r="V737" s="1477"/>
      <c r="W737" s="1478"/>
      <c r="X737" s="1479">
        <f t="shared" si="10"/>
        <v>1603</v>
      </c>
      <c r="Y737" s="1480"/>
      <c r="Z737" s="1480"/>
      <c r="AA737" s="1480"/>
      <c r="AB737" s="1481"/>
      <c r="AC737" s="1482">
        <v>0.3</v>
      </c>
      <c r="AD737" s="1483"/>
      <c r="AE737" s="1483"/>
      <c r="AF737" s="1483"/>
      <c r="AG737" s="1484"/>
      <c r="AH737" s="1500">
        <f t="shared" si="38"/>
        <v>0.30007487832272556</v>
      </c>
      <c r="AI737" s="1501"/>
      <c r="AJ737" s="1502"/>
      <c r="AK737" s="1448" t="s">
        <v>589</v>
      </c>
      <c r="AL737" s="1449"/>
      <c r="AM737" s="1449"/>
      <c r="AN737" s="1449"/>
      <c r="AO737" s="1450"/>
      <c r="AP737" s="3"/>
      <c r="AQ737" s="3"/>
      <c r="AR737" s="3"/>
      <c r="AS737" s="3"/>
      <c r="AY737" s="1075"/>
      <c r="AZ737" s="118">
        <f t="shared" si="11"/>
        <v>5342</v>
      </c>
      <c r="BA737" s="3"/>
      <c r="BB737" s="3"/>
      <c r="BC737" s="3"/>
      <c r="BD737" s="3"/>
      <c r="BE737" s="204"/>
      <c r="BF737" s="294">
        <f t="shared" si="12"/>
        <v>6</v>
      </c>
      <c r="BG737" s="297">
        <f t="shared" si="13"/>
        <v>5.3571428571428568E-2</v>
      </c>
      <c r="BH737" s="298">
        <f t="shared" si="14"/>
        <v>1.607142857142857E-2</v>
      </c>
      <c r="BI737" s="3"/>
      <c r="BJ737" s="3"/>
      <c r="BK737" s="3"/>
      <c r="BL737" s="3"/>
      <c r="BM737" s="3"/>
      <c r="BN737" s="3"/>
      <c r="BS737" s="294">
        <f t="shared" si="15"/>
        <v>6</v>
      </c>
      <c r="BT737" s="297">
        <f t="shared" si="16"/>
        <v>5.3571428571428568E-2</v>
      </c>
      <c r="BU737" s="298">
        <f t="shared" si="17"/>
        <v>1.6075439910146011E-2</v>
      </c>
      <c r="BV737" s="3"/>
      <c r="BW737" s="3"/>
      <c r="BX737" s="3"/>
      <c r="BY737" s="3"/>
      <c r="BZ737" s="3"/>
      <c r="CA737" s="3"/>
      <c r="CB737" s="3"/>
      <c r="CC737" s="3"/>
      <c r="CE737" s="3"/>
      <c r="CF737" s="3"/>
      <c r="CG737" s="1606">
        <f t="shared" si="39"/>
        <v>0</v>
      </c>
      <c r="CH737" s="1607"/>
      <c r="CI737" s="1600">
        <f t="shared" si="40"/>
        <v>0</v>
      </c>
      <c r="CJ737" s="1601"/>
      <c r="CK737" s="1606">
        <f t="shared" si="18"/>
        <v>1</v>
      </c>
      <c r="CL737" s="1607"/>
      <c r="CM737" s="1600">
        <f t="shared" si="19"/>
        <v>6</v>
      </c>
      <c r="CN737" s="1601"/>
      <c r="CO737" s="3"/>
      <c r="CP737" s="1608">
        <f t="shared" si="20"/>
        <v>0</v>
      </c>
      <c r="CQ737" s="1609"/>
      <c r="CR737" s="1609"/>
      <c r="CS737" s="1609"/>
      <c r="CT737" s="1610"/>
      <c r="CU737" s="1598">
        <f t="shared" si="21"/>
        <v>0</v>
      </c>
      <c r="CV737" s="1598"/>
      <c r="CW737" s="1598"/>
      <c r="CX737" s="1598"/>
      <c r="CY737" s="1598"/>
      <c r="CZ737" s="1598">
        <f t="shared" si="22"/>
        <v>0</v>
      </c>
      <c r="DA737" s="1598"/>
      <c r="DB737" s="1598"/>
      <c r="DC737" s="1598"/>
      <c r="DD737" s="1598"/>
      <c r="DE737" s="1598">
        <f t="shared" si="23"/>
        <v>6</v>
      </c>
      <c r="DF737" s="1598"/>
      <c r="DG737" s="1598"/>
      <c r="DH737" s="1598"/>
      <c r="DI737" s="1598"/>
      <c r="DJ737" s="1598">
        <f t="shared" si="24"/>
        <v>0</v>
      </c>
      <c r="DK737" s="1598"/>
      <c r="DL737" s="1598"/>
      <c r="DM737" s="1598"/>
      <c r="DN737" s="1598"/>
      <c r="DO737" s="1598">
        <f t="shared" si="25"/>
        <v>0</v>
      </c>
      <c r="DP737" s="1598"/>
      <c r="DQ737" s="1598"/>
      <c r="DR737" s="1598"/>
      <c r="DS737" s="1598"/>
      <c r="DT737" s="6"/>
      <c r="DU737" s="1597">
        <f t="shared" si="26"/>
        <v>0</v>
      </c>
      <c r="DV737" s="1597"/>
      <c r="DW737" s="1597"/>
      <c r="DX737" s="1597"/>
      <c r="DY737" s="1597"/>
      <c r="DZ737" s="1597">
        <f t="shared" si="27"/>
        <v>0</v>
      </c>
      <c r="EA737" s="1597"/>
      <c r="EB737" s="1597"/>
      <c r="EC737" s="1597"/>
      <c r="ED737" s="1597"/>
      <c r="EE737" s="1597">
        <f t="shared" si="28"/>
        <v>0</v>
      </c>
      <c r="EF737" s="1597"/>
      <c r="EG737" s="1597"/>
      <c r="EH737" s="1597"/>
      <c r="EI737" s="1597"/>
      <c r="EJ737" s="1597">
        <f t="shared" si="29"/>
        <v>6</v>
      </c>
      <c r="EK737" s="1597"/>
      <c r="EL737" s="1597"/>
      <c r="EM737" s="1597"/>
      <c r="EN737" s="1597"/>
      <c r="EO737" s="1597">
        <f t="shared" si="30"/>
        <v>0</v>
      </c>
      <c r="EP737" s="1597"/>
      <c r="EQ737" s="1597"/>
      <c r="ER737" s="1597"/>
      <c r="ES737" s="1597"/>
      <c r="ET737" s="1597">
        <f t="shared" si="31"/>
        <v>0</v>
      </c>
      <c r="EU737" s="1597"/>
      <c r="EV737" s="1597"/>
      <c r="EW737" s="1597"/>
      <c r="EX737" s="1597"/>
      <c r="EZ737" s="1606" t="str">
        <f t="shared" si="32"/>
        <v/>
      </c>
      <c r="FA737" s="1611"/>
      <c r="FB737" s="1611"/>
      <c r="FC737" s="1611"/>
      <c r="FD737" s="1607"/>
      <c r="FE737" s="1606" t="str">
        <f t="shared" si="33"/>
        <v/>
      </c>
      <c r="FF737" s="1611"/>
      <c r="FG737" s="1611"/>
      <c r="FH737" s="1611"/>
      <c r="FI737" s="1607"/>
      <c r="FJ737" s="1606" t="str">
        <f t="shared" si="34"/>
        <v/>
      </c>
      <c r="FK737" s="1611"/>
      <c r="FL737" s="1611"/>
      <c r="FM737" s="1611"/>
      <c r="FN737" s="1607"/>
      <c r="FO737" s="1606">
        <f t="shared" si="35"/>
        <v>1496</v>
      </c>
      <c r="FP737" s="1611"/>
      <c r="FQ737" s="1611"/>
      <c r="FR737" s="1611"/>
      <c r="FS737" s="1607"/>
      <c r="FT737" s="1606" t="str">
        <f t="shared" si="36"/>
        <v/>
      </c>
      <c r="FU737" s="1611"/>
      <c r="FV737" s="1611"/>
      <c r="FW737" s="1611"/>
      <c r="FX737" s="1607"/>
      <c r="FY737" s="1606" t="str">
        <f t="shared" si="37"/>
        <v/>
      </c>
      <c r="FZ737" s="1611"/>
      <c r="GA737" s="1611"/>
      <c r="GB737" s="1611"/>
      <c r="GC737" s="1607"/>
    </row>
    <row r="738" spans="1:185" ht="12.9" customHeight="1">
      <c r="B738" s="1448"/>
      <c r="C738" s="1449"/>
      <c r="D738" s="1449"/>
      <c r="E738" s="1449"/>
      <c r="F738" s="1450"/>
      <c r="G738" s="1442"/>
      <c r="H738" s="1443"/>
      <c r="I738" s="1443"/>
      <c r="J738" s="1444"/>
      <c r="K738" s="1445"/>
      <c r="L738" s="1446"/>
      <c r="M738" s="1446"/>
      <c r="N738" s="1447"/>
      <c r="O738" s="1476"/>
      <c r="P738" s="1477"/>
      <c r="Q738" s="1477"/>
      <c r="R738" s="1477"/>
      <c r="S738" s="1478"/>
      <c r="T738" s="1476"/>
      <c r="U738" s="1477"/>
      <c r="V738" s="1477"/>
      <c r="W738" s="1478"/>
      <c r="X738" s="1479">
        <f t="shared" si="10"/>
        <v>0</v>
      </c>
      <c r="Y738" s="1480"/>
      <c r="Z738" s="1480"/>
      <c r="AA738" s="1480"/>
      <c r="AB738" s="1481"/>
      <c r="AC738" s="1482"/>
      <c r="AD738" s="1483"/>
      <c r="AE738" s="1483"/>
      <c r="AF738" s="1483"/>
      <c r="AG738" s="1484"/>
      <c r="AH738" s="1500" t="str">
        <f t="shared" si="38"/>
        <v/>
      </c>
      <c r="AI738" s="1501"/>
      <c r="AJ738" s="1502"/>
      <c r="AK738" s="1448" t="s">
        <v>589</v>
      </c>
      <c r="AL738" s="1449"/>
      <c r="AM738" s="1449"/>
      <c r="AN738" s="1449"/>
      <c r="AO738" s="1450"/>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606">
        <f t="shared" si="39"/>
        <v>0</v>
      </c>
      <c r="CH738" s="1607"/>
      <c r="CI738" s="1600">
        <f t="shared" si="40"/>
        <v>0</v>
      </c>
      <c r="CJ738" s="1601"/>
      <c r="CK738" s="1606">
        <f t="shared" si="18"/>
        <v>0</v>
      </c>
      <c r="CL738" s="1607"/>
      <c r="CM738" s="1600">
        <f t="shared" si="19"/>
        <v>0</v>
      </c>
      <c r="CN738" s="1601"/>
      <c r="CO738" s="3"/>
      <c r="CP738" s="1608">
        <f t="shared" si="20"/>
        <v>0</v>
      </c>
      <c r="CQ738" s="1609"/>
      <c r="CR738" s="1609"/>
      <c r="CS738" s="1609"/>
      <c r="CT738" s="1610"/>
      <c r="CU738" s="1598">
        <f t="shared" si="21"/>
        <v>0</v>
      </c>
      <c r="CV738" s="1598"/>
      <c r="CW738" s="1598"/>
      <c r="CX738" s="1598"/>
      <c r="CY738" s="1598"/>
      <c r="CZ738" s="1598">
        <f t="shared" si="22"/>
        <v>0</v>
      </c>
      <c r="DA738" s="1598"/>
      <c r="DB738" s="1598"/>
      <c r="DC738" s="1598"/>
      <c r="DD738" s="1598"/>
      <c r="DE738" s="1598">
        <f t="shared" si="23"/>
        <v>0</v>
      </c>
      <c r="DF738" s="1598"/>
      <c r="DG738" s="1598"/>
      <c r="DH738" s="1598"/>
      <c r="DI738" s="1598"/>
      <c r="DJ738" s="1598">
        <f t="shared" si="24"/>
        <v>0</v>
      </c>
      <c r="DK738" s="1598"/>
      <c r="DL738" s="1598"/>
      <c r="DM738" s="1598"/>
      <c r="DN738" s="1598"/>
      <c r="DO738" s="1598">
        <f t="shared" si="25"/>
        <v>0</v>
      </c>
      <c r="DP738" s="1598"/>
      <c r="DQ738" s="1598"/>
      <c r="DR738" s="1598"/>
      <c r="DS738" s="1598"/>
      <c r="DT738" s="6"/>
      <c r="DU738" s="1597">
        <f t="shared" si="26"/>
        <v>0</v>
      </c>
      <c r="DV738" s="1597"/>
      <c r="DW738" s="1597"/>
      <c r="DX738" s="1597"/>
      <c r="DY738" s="1597"/>
      <c r="DZ738" s="1597">
        <f t="shared" si="27"/>
        <v>0</v>
      </c>
      <c r="EA738" s="1597"/>
      <c r="EB738" s="1597"/>
      <c r="EC738" s="1597"/>
      <c r="ED738" s="1597"/>
      <c r="EE738" s="1597">
        <f t="shared" si="28"/>
        <v>0</v>
      </c>
      <c r="EF738" s="1597"/>
      <c r="EG738" s="1597"/>
      <c r="EH738" s="1597"/>
      <c r="EI738" s="1597"/>
      <c r="EJ738" s="1597">
        <f t="shared" si="29"/>
        <v>0</v>
      </c>
      <c r="EK738" s="1597"/>
      <c r="EL738" s="1597"/>
      <c r="EM738" s="1597"/>
      <c r="EN738" s="1597"/>
      <c r="EO738" s="1597">
        <f t="shared" si="30"/>
        <v>0</v>
      </c>
      <c r="EP738" s="1597"/>
      <c r="EQ738" s="1597"/>
      <c r="ER738" s="1597"/>
      <c r="ES738" s="1597"/>
      <c r="ET738" s="1597">
        <f t="shared" si="31"/>
        <v>0</v>
      </c>
      <c r="EU738" s="1597"/>
      <c r="EV738" s="1597"/>
      <c r="EW738" s="1597"/>
      <c r="EX738" s="1597"/>
      <c r="EZ738" s="1606" t="str">
        <f t="shared" si="32"/>
        <v/>
      </c>
      <c r="FA738" s="1611"/>
      <c r="FB738" s="1611"/>
      <c r="FC738" s="1611"/>
      <c r="FD738" s="1607"/>
      <c r="FE738" s="1606" t="str">
        <f t="shared" si="33"/>
        <v/>
      </c>
      <c r="FF738" s="1611"/>
      <c r="FG738" s="1611"/>
      <c r="FH738" s="1611"/>
      <c r="FI738" s="1607"/>
      <c r="FJ738" s="1606" t="str">
        <f t="shared" si="34"/>
        <v/>
      </c>
      <c r="FK738" s="1611"/>
      <c r="FL738" s="1611"/>
      <c r="FM738" s="1611"/>
      <c r="FN738" s="1607"/>
      <c r="FO738" s="1606" t="str">
        <f t="shared" si="35"/>
        <v/>
      </c>
      <c r="FP738" s="1611"/>
      <c r="FQ738" s="1611"/>
      <c r="FR738" s="1611"/>
      <c r="FS738" s="1607"/>
      <c r="FT738" s="1606" t="str">
        <f t="shared" si="36"/>
        <v/>
      </c>
      <c r="FU738" s="1611"/>
      <c r="FV738" s="1611"/>
      <c r="FW738" s="1611"/>
      <c r="FX738" s="1607"/>
      <c r="FY738" s="1606" t="str">
        <f t="shared" si="37"/>
        <v/>
      </c>
      <c r="FZ738" s="1611"/>
      <c r="GA738" s="1611"/>
      <c r="GB738" s="1611"/>
      <c r="GC738" s="1607"/>
    </row>
    <row r="739" spans="1:185" ht="12.9" customHeight="1">
      <c r="B739" s="1448"/>
      <c r="C739" s="1449"/>
      <c r="D739" s="1449"/>
      <c r="E739" s="1449"/>
      <c r="F739" s="1450"/>
      <c r="G739" s="1442"/>
      <c r="H739" s="1443"/>
      <c r="I739" s="1443"/>
      <c r="J739" s="1444"/>
      <c r="K739" s="1445"/>
      <c r="L739" s="1446"/>
      <c r="M739" s="1446"/>
      <c r="N739" s="1447"/>
      <c r="O739" s="1476"/>
      <c r="P739" s="1477"/>
      <c r="Q739" s="1477"/>
      <c r="R739" s="1477"/>
      <c r="S739" s="1478"/>
      <c r="T739" s="1476"/>
      <c r="U739" s="1477"/>
      <c r="V739" s="1477"/>
      <c r="W739" s="1478"/>
      <c r="X739" s="1479">
        <f t="shared" si="10"/>
        <v>0</v>
      </c>
      <c r="Y739" s="1480"/>
      <c r="Z739" s="1480"/>
      <c r="AA739" s="1480"/>
      <c r="AB739" s="1481"/>
      <c r="AC739" s="1482"/>
      <c r="AD739" s="1483"/>
      <c r="AE739" s="1483"/>
      <c r="AF739" s="1483"/>
      <c r="AG739" s="1484"/>
      <c r="AH739" s="1500" t="str">
        <f t="shared" si="38"/>
        <v/>
      </c>
      <c r="AI739" s="1501"/>
      <c r="AJ739" s="1502"/>
      <c r="AK739" s="1448" t="s">
        <v>589</v>
      </c>
      <c r="AL739" s="1449"/>
      <c r="AM739" s="1449"/>
      <c r="AN739" s="1449"/>
      <c r="AO739" s="1450"/>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606">
        <f t="shared" si="39"/>
        <v>0</v>
      </c>
      <c r="CH739" s="1607"/>
      <c r="CI739" s="1600">
        <f t="shared" si="40"/>
        <v>0</v>
      </c>
      <c r="CJ739" s="1601"/>
      <c r="CK739" s="1606">
        <f t="shared" si="18"/>
        <v>0</v>
      </c>
      <c r="CL739" s="1607"/>
      <c r="CM739" s="1600">
        <f t="shared" si="19"/>
        <v>0</v>
      </c>
      <c r="CN739" s="1601"/>
      <c r="CO739" s="3"/>
      <c r="CP739" s="1608">
        <f t="shared" si="20"/>
        <v>0</v>
      </c>
      <c r="CQ739" s="1609"/>
      <c r="CR739" s="1609"/>
      <c r="CS739" s="1609"/>
      <c r="CT739" s="1610"/>
      <c r="CU739" s="1598">
        <f t="shared" si="21"/>
        <v>0</v>
      </c>
      <c r="CV739" s="1598"/>
      <c r="CW739" s="1598"/>
      <c r="CX739" s="1598"/>
      <c r="CY739" s="1598"/>
      <c r="CZ739" s="1598">
        <f t="shared" si="22"/>
        <v>0</v>
      </c>
      <c r="DA739" s="1598"/>
      <c r="DB739" s="1598"/>
      <c r="DC739" s="1598"/>
      <c r="DD739" s="1598"/>
      <c r="DE739" s="1598">
        <f t="shared" si="23"/>
        <v>0</v>
      </c>
      <c r="DF739" s="1598"/>
      <c r="DG739" s="1598"/>
      <c r="DH739" s="1598"/>
      <c r="DI739" s="1598"/>
      <c r="DJ739" s="1598">
        <f t="shared" si="24"/>
        <v>0</v>
      </c>
      <c r="DK739" s="1598"/>
      <c r="DL739" s="1598"/>
      <c r="DM739" s="1598"/>
      <c r="DN739" s="1598"/>
      <c r="DO739" s="1598">
        <f t="shared" si="25"/>
        <v>0</v>
      </c>
      <c r="DP739" s="1598"/>
      <c r="DQ739" s="1598"/>
      <c r="DR739" s="1598"/>
      <c r="DS739" s="1598"/>
      <c r="DT739" s="6"/>
      <c r="DU739" s="1597">
        <f t="shared" si="26"/>
        <v>0</v>
      </c>
      <c r="DV739" s="1597"/>
      <c r="DW739" s="1597"/>
      <c r="DX739" s="1597"/>
      <c r="DY739" s="1597"/>
      <c r="DZ739" s="1597">
        <f t="shared" si="27"/>
        <v>0</v>
      </c>
      <c r="EA739" s="1597"/>
      <c r="EB739" s="1597"/>
      <c r="EC739" s="1597"/>
      <c r="ED739" s="1597"/>
      <c r="EE739" s="1597">
        <f t="shared" si="28"/>
        <v>0</v>
      </c>
      <c r="EF739" s="1597"/>
      <c r="EG739" s="1597"/>
      <c r="EH739" s="1597"/>
      <c r="EI739" s="1597"/>
      <c r="EJ739" s="1597">
        <f t="shared" si="29"/>
        <v>0</v>
      </c>
      <c r="EK739" s="1597"/>
      <c r="EL739" s="1597"/>
      <c r="EM739" s="1597"/>
      <c r="EN739" s="1597"/>
      <c r="EO739" s="1597">
        <f t="shared" si="30"/>
        <v>0</v>
      </c>
      <c r="EP739" s="1597"/>
      <c r="EQ739" s="1597"/>
      <c r="ER739" s="1597"/>
      <c r="ES739" s="1597"/>
      <c r="ET739" s="1597">
        <f t="shared" si="31"/>
        <v>0</v>
      </c>
      <c r="EU739" s="1597"/>
      <c r="EV739" s="1597"/>
      <c r="EW739" s="1597"/>
      <c r="EX739" s="1597"/>
      <c r="EZ739" s="1606" t="str">
        <f t="shared" si="32"/>
        <v/>
      </c>
      <c r="FA739" s="1611"/>
      <c r="FB739" s="1611"/>
      <c r="FC739" s="1611"/>
      <c r="FD739" s="1607"/>
      <c r="FE739" s="1606" t="str">
        <f t="shared" si="33"/>
        <v/>
      </c>
      <c r="FF739" s="1611"/>
      <c r="FG739" s="1611"/>
      <c r="FH739" s="1611"/>
      <c r="FI739" s="1607"/>
      <c r="FJ739" s="1606" t="str">
        <f t="shared" si="34"/>
        <v/>
      </c>
      <c r="FK739" s="1611"/>
      <c r="FL739" s="1611"/>
      <c r="FM739" s="1611"/>
      <c r="FN739" s="1607"/>
      <c r="FO739" s="1606" t="str">
        <f t="shared" si="35"/>
        <v/>
      </c>
      <c r="FP739" s="1611"/>
      <c r="FQ739" s="1611"/>
      <c r="FR739" s="1611"/>
      <c r="FS739" s="1607"/>
      <c r="FT739" s="1606" t="str">
        <f t="shared" si="36"/>
        <v/>
      </c>
      <c r="FU739" s="1611"/>
      <c r="FV739" s="1611"/>
      <c r="FW739" s="1611"/>
      <c r="FX739" s="1607"/>
      <c r="FY739" s="1606" t="str">
        <f t="shared" si="37"/>
        <v/>
      </c>
      <c r="FZ739" s="1611"/>
      <c r="GA739" s="1611"/>
      <c r="GB739" s="1611"/>
      <c r="GC739" s="1607"/>
    </row>
    <row r="740" spans="1:185" ht="12.9" customHeight="1">
      <c r="B740" s="1448"/>
      <c r="C740" s="1449"/>
      <c r="D740" s="1449"/>
      <c r="E740" s="1449"/>
      <c r="F740" s="1450"/>
      <c r="G740" s="1442"/>
      <c r="H740" s="1443"/>
      <c r="I740" s="1443"/>
      <c r="J740" s="1444"/>
      <c r="K740" s="1445"/>
      <c r="L740" s="1446"/>
      <c r="M740" s="1446"/>
      <c r="N740" s="1447"/>
      <c r="O740" s="1476"/>
      <c r="P740" s="1477"/>
      <c r="Q740" s="1477"/>
      <c r="R740" s="1477"/>
      <c r="S740" s="1478"/>
      <c r="T740" s="1476"/>
      <c r="U740" s="1477"/>
      <c r="V740" s="1477"/>
      <c r="W740" s="1478"/>
      <c r="X740" s="1479">
        <f t="shared" si="10"/>
        <v>0</v>
      </c>
      <c r="Y740" s="1480"/>
      <c r="Z740" s="1480"/>
      <c r="AA740" s="1480"/>
      <c r="AB740" s="1481"/>
      <c r="AC740" s="1482"/>
      <c r="AD740" s="1483"/>
      <c r="AE740" s="1483"/>
      <c r="AF740" s="1483"/>
      <c r="AG740" s="1484"/>
      <c r="AH740" s="1500" t="str">
        <f t="shared" si="38"/>
        <v/>
      </c>
      <c r="AI740" s="1501"/>
      <c r="AJ740" s="1502"/>
      <c r="AK740" s="1448" t="s">
        <v>589</v>
      </c>
      <c r="AL740" s="1449"/>
      <c r="AM740" s="1449"/>
      <c r="AN740" s="1449"/>
      <c r="AO740" s="1450"/>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606">
        <f t="shared" si="39"/>
        <v>0</v>
      </c>
      <c r="CH740" s="1607"/>
      <c r="CI740" s="1600">
        <f t="shared" si="40"/>
        <v>0</v>
      </c>
      <c r="CJ740" s="1601"/>
      <c r="CK740" s="1606">
        <f t="shared" si="18"/>
        <v>0</v>
      </c>
      <c r="CL740" s="1607"/>
      <c r="CM740" s="1600">
        <f t="shared" si="19"/>
        <v>0</v>
      </c>
      <c r="CN740" s="1601"/>
      <c r="CO740" s="3"/>
      <c r="CP740" s="1608">
        <f t="shared" si="20"/>
        <v>0</v>
      </c>
      <c r="CQ740" s="1609"/>
      <c r="CR740" s="1609"/>
      <c r="CS740" s="1609"/>
      <c r="CT740" s="1610"/>
      <c r="CU740" s="1598">
        <f t="shared" si="21"/>
        <v>0</v>
      </c>
      <c r="CV740" s="1598"/>
      <c r="CW740" s="1598"/>
      <c r="CX740" s="1598"/>
      <c r="CY740" s="1598"/>
      <c r="CZ740" s="1598">
        <f t="shared" si="22"/>
        <v>0</v>
      </c>
      <c r="DA740" s="1598"/>
      <c r="DB740" s="1598"/>
      <c r="DC740" s="1598"/>
      <c r="DD740" s="1598"/>
      <c r="DE740" s="1598">
        <f t="shared" si="23"/>
        <v>0</v>
      </c>
      <c r="DF740" s="1598"/>
      <c r="DG740" s="1598"/>
      <c r="DH740" s="1598"/>
      <c r="DI740" s="1598"/>
      <c r="DJ740" s="1598">
        <f t="shared" si="24"/>
        <v>0</v>
      </c>
      <c r="DK740" s="1598"/>
      <c r="DL740" s="1598"/>
      <c r="DM740" s="1598"/>
      <c r="DN740" s="1598"/>
      <c r="DO740" s="1598">
        <f t="shared" si="25"/>
        <v>0</v>
      </c>
      <c r="DP740" s="1598"/>
      <c r="DQ740" s="1598"/>
      <c r="DR740" s="1598"/>
      <c r="DS740" s="1598"/>
      <c r="DT740" s="6"/>
      <c r="DU740" s="1597">
        <f t="shared" si="26"/>
        <v>0</v>
      </c>
      <c r="DV740" s="1597"/>
      <c r="DW740" s="1597"/>
      <c r="DX740" s="1597"/>
      <c r="DY740" s="1597"/>
      <c r="DZ740" s="1597">
        <f t="shared" si="27"/>
        <v>0</v>
      </c>
      <c r="EA740" s="1597"/>
      <c r="EB740" s="1597"/>
      <c r="EC740" s="1597"/>
      <c r="ED740" s="1597"/>
      <c r="EE740" s="1597">
        <f t="shared" si="28"/>
        <v>0</v>
      </c>
      <c r="EF740" s="1597"/>
      <c r="EG740" s="1597"/>
      <c r="EH740" s="1597"/>
      <c r="EI740" s="1597"/>
      <c r="EJ740" s="1597">
        <f t="shared" si="29"/>
        <v>0</v>
      </c>
      <c r="EK740" s="1597"/>
      <c r="EL740" s="1597"/>
      <c r="EM740" s="1597"/>
      <c r="EN740" s="1597"/>
      <c r="EO740" s="1597">
        <f t="shared" si="30"/>
        <v>0</v>
      </c>
      <c r="EP740" s="1597"/>
      <c r="EQ740" s="1597"/>
      <c r="ER740" s="1597"/>
      <c r="ES740" s="1597"/>
      <c r="ET740" s="1597">
        <f t="shared" si="31"/>
        <v>0</v>
      </c>
      <c r="EU740" s="1597"/>
      <c r="EV740" s="1597"/>
      <c r="EW740" s="1597"/>
      <c r="EX740" s="1597"/>
      <c r="EZ740" s="1606" t="str">
        <f t="shared" si="32"/>
        <v/>
      </c>
      <c r="FA740" s="1611"/>
      <c r="FB740" s="1611"/>
      <c r="FC740" s="1611"/>
      <c r="FD740" s="1607"/>
      <c r="FE740" s="1606" t="str">
        <f t="shared" si="33"/>
        <v/>
      </c>
      <c r="FF740" s="1611"/>
      <c r="FG740" s="1611"/>
      <c r="FH740" s="1611"/>
      <c r="FI740" s="1607"/>
      <c r="FJ740" s="1606" t="str">
        <f t="shared" si="34"/>
        <v/>
      </c>
      <c r="FK740" s="1611"/>
      <c r="FL740" s="1611"/>
      <c r="FM740" s="1611"/>
      <c r="FN740" s="1607"/>
      <c r="FO740" s="1606" t="str">
        <f t="shared" si="35"/>
        <v/>
      </c>
      <c r="FP740" s="1611"/>
      <c r="FQ740" s="1611"/>
      <c r="FR740" s="1611"/>
      <c r="FS740" s="1607"/>
      <c r="FT740" s="1606" t="str">
        <f t="shared" si="36"/>
        <v/>
      </c>
      <c r="FU740" s="1611"/>
      <c r="FV740" s="1611"/>
      <c r="FW740" s="1611"/>
      <c r="FX740" s="1607"/>
      <c r="FY740" s="1606" t="str">
        <f t="shared" si="37"/>
        <v/>
      </c>
      <c r="FZ740" s="1611"/>
      <c r="GA740" s="1611"/>
      <c r="GB740" s="1611"/>
      <c r="GC740" s="1607"/>
    </row>
    <row r="741" spans="1:185" ht="12.9" customHeight="1">
      <c r="B741" s="1448"/>
      <c r="C741" s="1449"/>
      <c r="D741" s="1449"/>
      <c r="E741" s="1449"/>
      <c r="F741" s="1450"/>
      <c r="G741" s="1442"/>
      <c r="H741" s="1443"/>
      <c r="I741" s="1443"/>
      <c r="J741" s="1444"/>
      <c r="K741" s="1445"/>
      <c r="L741" s="1446"/>
      <c r="M741" s="1446"/>
      <c r="N741" s="1447"/>
      <c r="O741" s="1476"/>
      <c r="P741" s="1477"/>
      <c r="Q741" s="1477"/>
      <c r="R741" s="1477"/>
      <c r="S741" s="1478"/>
      <c r="T741" s="1476"/>
      <c r="U741" s="1477"/>
      <c r="V741" s="1477"/>
      <c r="W741" s="1478"/>
      <c r="X741" s="1479">
        <f t="shared" si="10"/>
        <v>0</v>
      </c>
      <c r="Y741" s="1480"/>
      <c r="Z741" s="1480"/>
      <c r="AA741" s="1480"/>
      <c r="AB741" s="1481"/>
      <c r="AC741" s="1482"/>
      <c r="AD741" s="1483"/>
      <c r="AE741" s="1483"/>
      <c r="AF741" s="1483"/>
      <c r="AG741" s="1484"/>
      <c r="AH741" s="1500" t="str">
        <f t="shared" si="38"/>
        <v/>
      </c>
      <c r="AI741" s="1501"/>
      <c r="AJ741" s="1502"/>
      <c r="AK741" s="1448" t="s">
        <v>589</v>
      </c>
      <c r="AL741" s="1449"/>
      <c r="AM741" s="1449"/>
      <c r="AN741" s="1449"/>
      <c r="AO741" s="1450"/>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606">
        <f t="shared" si="39"/>
        <v>0</v>
      </c>
      <c r="CH741" s="1607"/>
      <c r="CI741" s="1600">
        <f t="shared" si="40"/>
        <v>0</v>
      </c>
      <c r="CJ741" s="1601"/>
      <c r="CK741" s="1606">
        <f t="shared" si="18"/>
        <v>0</v>
      </c>
      <c r="CL741" s="1607"/>
      <c r="CM741" s="1600">
        <f t="shared" si="19"/>
        <v>0</v>
      </c>
      <c r="CN741" s="1601"/>
      <c r="CO741" s="3"/>
      <c r="CP741" s="1608">
        <f t="shared" si="20"/>
        <v>0</v>
      </c>
      <c r="CQ741" s="1609"/>
      <c r="CR741" s="1609"/>
      <c r="CS741" s="1609"/>
      <c r="CT741" s="1610"/>
      <c r="CU741" s="1598">
        <f t="shared" si="21"/>
        <v>0</v>
      </c>
      <c r="CV741" s="1598"/>
      <c r="CW741" s="1598"/>
      <c r="CX741" s="1598"/>
      <c r="CY741" s="1598"/>
      <c r="CZ741" s="1598">
        <f t="shared" si="22"/>
        <v>0</v>
      </c>
      <c r="DA741" s="1598"/>
      <c r="DB741" s="1598"/>
      <c r="DC741" s="1598"/>
      <c r="DD741" s="1598"/>
      <c r="DE741" s="1598">
        <f t="shared" si="23"/>
        <v>0</v>
      </c>
      <c r="DF741" s="1598"/>
      <c r="DG741" s="1598"/>
      <c r="DH741" s="1598"/>
      <c r="DI741" s="1598"/>
      <c r="DJ741" s="1598">
        <f t="shared" si="24"/>
        <v>0</v>
      </c>
      <c r="DK741" s="1598"/>
      <c r="DL741" s="1598"/>
      <c r="DM741" s="1598"/>
      <c r="DN741" s="1598"/>
      <c r="DO741" s="1598">
        <f t="shared" si="25"/>
        <v>0</v>
      </c>
      <c r="DP741" s="1598"/>
      <c r="DQ741" s="1598"/>
      <c r="DR741" s="1598"/>
      <c r="DS741" s="1598"/>
      <c r="DT741" s="6"/>
      <c r="DU741" s="1597">
        <f t="shared" si="26"/>
        <v>0</v>
      </c>
      <c r="DV741" s="1597"/>
      <c r="DW741" s="1597"/>
      <c r="DX741" s="1597"/>
      <c r="DY741" s="1597"/>
      <c r="DZ741" s="1597">
        <f t="shared" si="27"/>
        <v>0</v>
      </c>
      <c r="EA741" s="1597"/>
      <c r="EB741" s="1597"/>
      <c r="EC741" s="1597"/>
      <c r="ED741" s="1597"/>
      <c r="EE741" s="1597">
        <f t="shared" si="28"/>
        <v>0</v>
      </c>
      <c r="EF741" s="1597"/>
      <c r="EG741" s="1597"/>
      <c r="EH741" s="1597"/>
      <c r="EI741" s="1597"/>
      <c r="EJ741" s="1597">
        <f t="shared" si="29"/>
        <v>0</v>
      </c>
      <c r="EK741" s="1597"/>
      <c r="EL741" s="1597"/>
      <c r="EM741" s="1597"/>
      <c r="EN741" s="1597"/>
      <c r="EO741" s="1597">
        <f t="shared" si="30"/>
        <v>0</v>
      </c>
      <c r="EP741" s="1597"/>
      <c r="EQ741" s="1597"/>
      <c r="ER741" s="1597"/>
      <c r="ES741" s="1597"/>
      <c r="ET741" s="1597">
        <f t="shared" si="31"/>
        <v>0</v>
      </c>
      <c r="EU741" s="1597"/>
      <c r="EV741" s="1597"/>
      <c r="EW741" s="1597"/>
      <c r="EX741" s="1597"/>
      <c r="EZ741" s="1606" t="str">
        <f t="shared" si="32"/>
        <v/>
      </c>
      <c r="FA741" s="1611"/>
      <c r="FB741" s="1611"/>
      <c r="FC741" s="1611"/>
      <c r="FD741" s="1607"/>
      <c r="FE741" s="1606" t="str">
        <f t="shared" si="33"/>
        <v/>
      </c>
      <c r="FF741" s="1611"/>
      <c r="FG741" s="1611"/>
      <c r="FH741" s="1611"/>
      <c r="FI741" s="1607"/>
      <c r="FJ741" s="1606" t="str">
        <f t="shared" si="34"/>
        <v/>
      </c>
      <c r="FK741" s="1611"/>
      <c r="FL741" s="1611"/>
      <c r="FM741" s="1611"/>
      <c r="FN741" s="1607"/>
      <c r="FO741" s="1606" t="str">
        <f t="shared" si="35"/>
        <v/>
      </c>
      <c r="FP741" s="1611"/>
      <c r="FQ741" s="1611"/>
      <c r="FR741" s="1611"/>
      <c r="FS741" s="1607"/>
      <c r="FT741" s="1606" t="str">
        <f t="shared" si="36"/>
        <v/>
      </c>
      <c r="FU741" s="1611"/>
      <c r="FV741" s="1611"/>
      <c r="FW741" s="1611"/>
      <c r="FX741" s="1607"/>
      <c r="FY741" s="1606" t="str">
        <f t="shared" si="37"/>
        <v/>
      </c>
      <c r="FZ741" s="1611"/>
      <c r="GA741" s="1611"/>
      <c r="GB741" s="1611"/>
      <c r="GC741" s="1607"/>
    </row>
    <row r="742" spans="1:185" ht="12.9" customHeight="1">
      <c r="B742" s="1448"/>
      <c r="C742" s="1449"/>
      <c r="D742" s="1449"/>
      <c r="E742" s="1449"/>
      <c r="F742" s="1450"/>
      <c r="G742" s="1442"/>
      <c r="H742" s="1443"/>
      <c r="I742" s="1443"/>
      <c r="J742" s="1444"/>
      <c r="K742" s="1445"/>
      <c r="L742" s="1446"/>
      <c r="M742" s="1446"/>
      <c r="N742" s="1447"/>
      <c r="O742" s="1476"/>
      <c r="P742" s="1477"/>
      <c r="Q742" s="1477"/>
      <c r="R742" s="1477"/>
      <c r="S742" s="1478"/>
      <c r="T742" s="1476"/>
      <c r="U742" s="1477"/>
      <c r="V742" s="1477"/>
      <c r="W742" s="1478"/>
      <c r="X742" s="1479">
        <f t="shared" si="10"/>
        <v>0</v>
      </c>
      <c r="Y742" s="1480"/>
      <c r="Z742" s="1480"/>
      <c r="AA742" s="1480"/>
      <c r="AB742" s="1481"/>
      <c r="AC742" s="1482"/>
      <c r="AD742" s="1483"/>
      <c r="AE742" s="1483"/>
      <c r="AF742" s="1483"/>
      <c r="AG742" s="1484"/>
      <c r="AH742" s="1500" t="str">
        <f t="shared" si="38"/>
        <v/>
      </c>
      <c r="AI742" s="1501"/>
      <c r="AJ742" s="1502"/>
      <c r="AK742" s="1448" t="s">
        <v>589</v>
      </c>
      <c r="AL742" s="1449"/>
      <c r="AM742" s="1449"/>
      <c r="AN742" s="1449"/>
      <c r="AO742" s="1450"/>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606">
        <f t="shared" si="39"/>
        <v>0</v>
      </c>
      <c r="CH742" s="1607"/>
      <c r="CI742" s="1600">
        <f t="shared" si="40"/>
        <v>0</v>
      </c>
      <c r="CJ742" s="1601"/>
      <c r="CK742" s="1606">
        <f t="shared" si="18"/>
        <v>0</v>
      </c>
      <c r="CL742" s="1607"/>
      <c r="CM742" s="1600">
        <f t="shared" si="19"/>
        <v>0</v>
      </c>
      <c r="CN742" s="1601"/>
      <c r="CO742" s="3"/>
      <c r="CP742" s="1608">
        <f t="shared" si="20"/>
        <v>0</v>
      </c>
      <c r="CQ742" s="1609"/>
      <c r="CR742" s="1609"/>
      <c r="CS742" s="1609"/>
      <c r="CT742" s="1610"/>
      <c r="CU742" s="1598">
        <f t="shared" si="21"/>
        <v>0</v>
      </c>
      <c r="CV742" s="1598"/>
      <c r="CW742" s="1598"/>
      <c r="CX742" s="1598"/>
      <c r="CY742" s="1598"/>
      <c r="CZ742" s="1598">
        <f t="shared" si="22"/>
        <v>0</v>
      </c>
      <c r="DA742" s="1598"/>
      <c r="DB742" s="1598"/>
      <c r="DC742" s="1598"/>
      <c r="DD742" s="1598"/>
      <c r="DE742" s="1598">
        <f t="shared" si="23"/>
        <v>0</v>
      </c>
      <c r="DF742" s="1598"/>
      <c r="DG742" s="1598"/>
      <c r="DH742" s="1598"/>
      <c r="DI742" s="1598"/>
      <c r="DJ742" s="1598">
        <f t="shared" si="24"/>
        <v>0</v>
      </c>
      <c r="DK742" s="1598"/>
      <c r="DL742" s="1598"/>
      <c r="DM742" s="1598"/>
      <c r="DN742" s="1598"/>
      <c r="DO742" s="1598">
        <f t="shared" si="25"/>
        <v>0</v>
      </c>
      <c r="DP742" s="1598"/>
      <c r="DQ742" s="1598"/>
      <c r="DR742" s="1598"/>
      <c r="DS742" s="1598"/>
      <c r="DT742" s="6"/>
      <c r="DU742" s="1597">
        <f t="shared" si="26"/>
        <v>0</v>
      </c>
      <c r="DV742" s="1597"/>
      <c r="DW742" s="1597"/>
      <c r="DX742" s="1597"/>
      <c r="DY742" s="1597"/>
      <c r="DZ742" s="1597">
        <f t="shared" si="27"/>
        <v>0</v>
      </c>
      <c r="EA742" s="1597"/>
      <c r="EB742" s="1597"/>
      <c r="EC742" s="1597"/>
      <c r="ED742" s="1597"/>
      <c r="EE742" s="1597">
        <f t="shared" si="28"/>
        <v>0</v>
      </c>
      <c r="EF742" s="1597"/>
      <c r="EG742" s="1597"/>
      <c r="EH742" s="1597"/>
      <c r="EI742" s="1597"/>
      <c r="EJ742" s="1597">
        <f t="shared" si="29"/>
        <v>0</v>
      </c>
      <c r="EK742" s="1597"/>
      <c r="EL742" s="1597"/>
      <c r="EM742" s="1597"/>
      <c r="EN742" s="1597"/>
      <c r="EO742" s="1597">
        <f t="shared" si="30"/>
        <v>0</v>
      </c>
      <c r="EP742" s="1597"/>
      <c r="EQ742" s="1597"/>
      <c r="ER742" s="1597"/>
      <c r="ES742" s="1597"/>
      <c r="ET742" s="1597">
        <f t="shared" si="31"/>
        <v>0</v>
      </c>
      <c r="EU742" s="1597"/>
      <c r="EV742" s="1597"/>
      <c r="EW742" s="1597"/>
      <c r="EX742" s="1597"/>
      <c r="EZ742" s="1606" t="str">
        <f t="shared" si="32"/>
        <v/>
      </c>
      <c r="FA742" s="1611"/>
      <c r="FB742" s="1611"/>
      <c r="FC742" s="1611"/>
      <c r="FD742" s="1607"/>
      <c r="FE742" s="1606" t="str">
        <f t="shared" si="33"/>
        <v/>
      </c>
      <c r="FF742" s="1611"/>
      <c r="FG742" s="1611"/>
      <c r="FH742" s="1611"/>
      <c r="FI742" s="1607"/>
      <c r="FJ742" s="1606" t="str">
        <f t="shared" si="34"/>
        <v/>
      </c>
      <c r="FK742" s="1611"/>
      <c r="FL742" s="1611"/>
      <c r="FM742" s="1611"/>
      <c r="FN742" s="1607"/>
      <c r="FO742" s="1606" t="str">
        <f t="shared" si="35"/>
        <v/>
      </c>
      <c r="FP742" s="1611"/>
      <c r="FQ742" s="1611"/>
      <c r="FR742" s="1611"/>
      <c r="FS742" s="1607"/>
      <c r="FT742" s="1606" t="str">
        <f t="shared" si="36"/>
        <v/>
      </c>
      <c r="FU742" s="1611"/>
      <c r="FV742" s="1611"/>
      <c r="FW742" s="1611"/>
      <c r="FX742" s="1607"/>
      <c r="FY742" s="1606" t="str">
        <f t="shared" si="37"/>
        <v/>
      </c>
      <c r="FZ742" s="1611"/>
      <c r="GA742" s="1611"/>
      <c r="GB742" s="1611"/>
      <c r="GC742" s="1607"/>
    </row>
    <row r="743" spans="1:185" ht="12.9" customHeight="1">
      <c r="B743" s="1448"/>
      <c r="C743" s="1449"/>
      <c r="D743" s="1449"/>
      <c r="E743" s="1449"/>
      <c r="F743" s="1450"/>
      <c r="G743" s="1442"/>
      <c r="H743" s="1443"/>
      <c r="I743" s="1443"/>
      <c r="J743" s="1444"/>
      <c r="K743" s="1445"/>
      <c r="L743" s="1446"/>
      <c r="M743" s="1446"/>
      <c r="N743" s="1447"/>
      <c r="O743" s="1476"/>
      <c r="P743" s="1477"/>
      <c r="Q743" s="1477"/>
      <c r="R743" s="1477"/>
      <c r="S743" s="1478"/>
      <c r="T743" s="1476"/>
      <c r="U743" s="1477"/>
      <c r="V743" s="1477"/>
      <c r="W743" s="1478"/>
      <c r="X743" s="1479">
        <f t="shared" si="10"/>
        <v>0</v>
      </c>
      <c r="Y743" s="1480"/>
      <c r="Z743" s="1480"/>
      <c r="AA743" s="1480"/>
      <c r="AB743" s="1481"/>
      <c r="AC743" s="1482"/>
      <c r="AD743" s="1483"/>
      <c r="AE743" s="1483"/>
      <c r="AF743" s="1483"/>
      <c r="AG743" s="1484"/>
      <c r="AH743" s="1500" t="str">
        <f t="shared" si="38"/>
        <v/>
      </c>
      <c r="AI743" s="1501"/>
      <c r="AJ743" s="1502"/>
      <c r="AK743" s="1448" t="s">
        <v>589</v>
      </c>
      <c r="AL743" s="1449"/>
      <c r="AM743" s="1449"/>
      <c r="AN743" s="1449"/>
      <c r="AO743" s="1450"/>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606">
        <f t="shared" si="39"/>
        <v>0</v>
      </c>
      <c r="CH743" s="1607"/>
      <c r="CI743" s="1600">
        <f t="shared" si="40"/>
        <v>0</v>
      </c>
      <c r="CJ743" s="1601"/>
      <c r="CK743" s="1606">
        <f t="shared" si="18"/>
        <v>0</v>
      </c>
      <c r="CL743" s="1607"/>
      <c r="CM743" s="1600">
        <f t="shared" si="19"/>
        <v>0</v>
      </c>
      <c r="CN743" s="1601"/>
      <c r="CO743" s="3"/>
      <c r="CP743" s="1608">
        <f t="shared" si="20"/>
        <v>0</v>
      </c>
      <c r="CQ743" s="1609"/>
      <c r="CR743" s="1609"/>
      <c r="CS743" s="1609"/>
      <c r="CT743" s="1610"/>
      <c r="CU743" s="1598">
        <f t="shared" si="21"/>
        <v>0</v>
      </c>
      <c r="CV743" s="1598"/>
      <c r="CW743" s="1598"/>
      <c r="CX743" s="1598"/>
      <c r="CY743" s="1598"/>
      <c r="CZ743" s="1598">
        <f t="shared" si="22"/>
        <v>0</v>
      </c>
      <c r="DA743" s="1598"/>
      <c r="DB743" s="1598"/>
      <c r="DC743" s="1598"/>
      <c r="DD743" s="1598"/>
      <c r="DE743" s="1598">
        <f t="shared" si="23"/>
        <v>0</v>
      </c>
      <c r="DF743" s="1598"/>
      <c r="DG743" s="1598"/>
      <c r="DH743" s="1598"/>
      <c r="DI743" s="1598"/>
      <c r="DJ743" s="1598">
        <f t="shared" si="24"/>
        <v>0</v>
      </c>
      <c r="DK743" s="1598"/>
      <c r="DL743" s="1598"/>
      <c r="DM743" s="1598"/>
      <c r="DN743" s="1598"/>
      <c r="DO743" s="1598">
        <f t="shared" si="25"/>
        <v>0</v>
      </c>
      <c r="DP743" s="1598"/>
      <c r="DQ743" s="1598"/>
      <c r="DR743" s="1598"/>
      <c r="DS743" s="1598"/>
      <c r="DT743" s="6"/>
      <c r="DU743" s="1597">
        <f t="shared" si="26"/>
        <v>0</v>
      </c>
      <c r="DV743" s="1597"/>
      <c r="DW743" s="1597"/>
      <c r="DX743" s="1597"/>
      <c r="DY743" s="1597"/>
      <c r="DZ743" s="1597">
        <f t="shared" si="27"/>
        <v>0</v>
      </c>
      <c r="EA743" s="1597"/>
      <c r="EB743" s="1597"/>
      <c r="EC743" s="1597"/>
      <c r="ED743" s="1597"/>
      <c r="EE743" s="1597">
        <f t="shared" si="28"/>
        <v>0</v>
      </c>
      <c r="EF743" s="1597"/>
      <c r="EG743" s="1597"/>
      <c r="EH743" s="1597"/>
      <c r="EI743" s="1597"/>
      <c r="EJ743" s="1597">
        <f t="shared" si="29"/>
        <v>0</v>
      </c>
      <c r="EK743" s="1597"/>
      <c r="EL743" s="1597"/>
      <c r="EM743" s="1597"/>
      <c r="EN743" s="1597"/>
      <c r="EO743" s="1597">
        <f t="shared" si="30"/>
        <v>0</v>
      </c>
      <c r="EP743" s="1597"/>
      <c r="EQ743" s="1597"/>
      <c r="ER743" s="1597"/>
      <c r="ES743" s="1597"/>
      <c r="ET743" s="1597">
        <f t="shared" si="31"/>
        <v>0</v>
      </c>
      <c r="EU743" s="1597"/>
      <c r="EV743" s="1597"/>
      <c r="EW743" s="1597"/>
      <c r="EX743" s="1597"/>
      <c r="EZ743" s="1606" t="str">
        <f t="shared" si="32"/>
        <v/>
      </c>
      <c r="FA743" s="1611"/>
      <c r="FB743" s="1611"/>
      <c r="FC743" s="1611"/>
      <c r="FD743" s="1607"/>
      <c r="FE743" s="1606" t="str">
        <f t="shared" si="33"/>
        <v/>
      </c>
      <c r="FF743" s="1611"/>
      <c r="FG743" s="1611"/>
      <c r="FH743" s="1611"/>
      <c r="FI743" s="1607"/>
      <c r="FJ743" s="1606" t="str">
        <f t="shared" si="34"/>
        <v/>
      </c>
      <c r="FK743" s="1611"/>
      <c r="FL743" s="1611"/>
      <c r="FM743" s="1611"/>
      <c r="FN743" s="1607"/>
      <c r="FO743" s="1606" t="str">
        <f t="shared" si="35"/>
        <v/>
      </c>
      <c r="FP743" s="1611"/>
      <c r="FQ743" s="1611"/>
      <c r="FR743" s="1611"/>
      <c r="FS743" s="1607"/>
      <c r="FT743" s="1606" t="str">
        <f t="shared" si="36"/>
        <v/>
      </c>
      <c r="FU743" s="1611"/>
      <c r="FV743" s="1611"/>
      <c r="FW743" s="1611"/>
      <c r="FX743" s="1607"/>
      <c r="FY743" s="1606" t="str">
        <f t="shared" si="37"/>
        <v/>
      </c>
      <c r="FZ743" s="1611"/>
      <c r="GA743" s="1611"/>
      <c r="GB743" s="1611"/>
      <c r="GC743" s="1607"/>
    </row>
    <row r="744" spans="1:185" ht="12.9" customHeight="1">
      <c r="B744" s="1448"/>
      <c r="C744" s="1449"/>
      <c r="D744" s="1449"/>
      <c r="E744" s="1449"/>
      <c r="F744" s="1450"/>
      <c r="G744" s="1442"/>
      <c r="H744" s="1443"/>
      <c r="I744" s="1443"/>
      <c r="J744" s="1444"/>
      <c r="K744" s="1445"/>
      <c r="L744" s="1446"/>
      <c r="M744" s="1446"/>
      <c r="N744" s="1447"/>
      <c r="O744" s="1476"/>
      <c r="P744" s="1477"/>
      <c r="Q744" s="1477"/>
      <c r="R744" s="1477"/>
      <c r="S744" s="1478"/>
      <c r="T744" s="1476"/>
      <c r="U744" s="1477"/>
      <c r="V744" s="1477"/>
      <c r="W744" s="1478"/>
      <c r="X744" s="1479">
        <f t="shared" si="10"/>
        <v>0</v>
      </c>
      <c r="Y744" s="1480"/>
      <c r="Z744" s="1480"/>
      <c r="AA744" s="1480"/>
      <c r="AB744" s="1481"/>
      <c r="AC744" s="1482"/>
      <c r="AD744" s="1483"/>
      <c r="AE744" s="1483"/>
      <c r="AF744" s="1483"/>
      <c r="AG744" s="1484"/>
      <c r="AH744" s="1500" t="str">
        <f t="shared" si="38"/>
        <v/>
      </c>
      <c r="AI744" s="1501"/>
      <c r="AJ744" s="1502"/>
      <c r="AK744" s="1448" t="s">
        <v>589</v>
      </c>
      <c r="AL744" s="1449"/>
      <c r="AM744" s="1449"/>
      <c r="AN744" s="1449"/>
      <c r="AO744" s="1450"/>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606">
        <f t="shared" si="39"/>
        <v>0</v>
      </c>
      <c r="CH744" s="1607"/>
      <c r="CI744" s="1600">
        <f t="shared" si="40"/>
        <v>0</v>
      </c>
      <c r="CJ744" s="1601"/>
      <c r="CK744" s="1606">
        <f t="shared" si="18"/>
        <v>0</v>
      </c>
      <c r="CL744" s="1607"/>
      <c r="CM744" s="1600">
        <f t="shared" si="19"/>
        <v>0</v>
      </c>
      <c r="CN744" s="1601"/>
      <c r="CO744" s="3"/>
      <c r="CP744" s="1608">
        <f t="shared" si="20"/>
        <v>0</v>
      </c>
      <c r="CQ744" s="1609"/>
      <c r="CR744" s="1609"/>
      <c r="CS744" s="1609"/>
      <c r="CT744" s="1610"/>
      <c r="CU744" s="1598">
        <f t="shared" si="21"/>
        <v>0</v>
      </c>
      <c r="CV744" s="1598"/>
      <c r="CW744" s="1598"/>
      <c r="CX744" s="1598"/>
      <c r="CY744" s="1598"/>
      <c r="CZ744" s="1598">
        <f t="shared" si="22"/>
        <v>0</v>
      </c>
      <c r="DA744" s="1598"/>
      <c r="DB744" s="1598"/>
      <c r="DC744" s="1598"/>
      <c r="DD744" s="1598"/>
      <c r="DE744" s="1598">
        <f t="shared" si="23"/>
        <v>0</v>
      </c>
      <c r="DF744" s="1598"/>
      <c r="DG744" s="1598"/>
      <c r="DH744" s="1598"/>
      <c r="DI744" s="1598"/>
      <c r="DJ744" s="1598">
        <f t="shared" si="24"/>
        <v>0</v>
      </c>
      <c r="DK744" s="1598"/>
      <c r="DL744" s="1598"/>
      <c r="DM744" s="1598"/>
      <c r="DN744" s="1598"/>
      <c r="DO744" s="1598">
        <f t="shared" si="25"/>
        <v>0</v>
      </c>
      <c r="DP744" s="1598"/>
      <c r="DQ744" s="1598"/>
      <c r="DR744" s="1598"/>
      <c r="DS744" s="1598"/>
      <c r="DT744" s="6"/>
      <c r="DU744" s="1597">
        <f t="shared" si="26"/>
        <v>0</v>
      </c>
      <c r="DV744" s="1597"/>
      <c r="DW744" s="1597"/>
      <c r="DX744" s="1597"/>
      <c r="DY744" s="1597"/>
      <c r="DZ744" s="1597">
        <f t="shared" si="27"/>
        <v>0</v>
      </c>
      <c r="EA744" s="1597"/>
      <c r="EB744" s="1597"/>
      <c r="EC744" s="1597"/>
      <c r="ED744" s="1597"/>
      <c r="EE744" s="1597">
        <f t="shared" si="28"/>
        <v>0</v>
      </c>
      <c r="EF744" s="1597"/>
      <c r="EG744" s="1597"/>
      <c r="EH744" s="1597"/>
      <c r="EI744" s="1597"/>
      <c r="EJ744" s="1597">
        <f t="shared" si="29"/>
        <v>0</v>
      </c>
      <c r="EK744" s="1597"/>
      <c r="EL744" s="1597"/>
      <c r="EM744" s="1597"/>
      <c r="EN744" s="1597"/>
      <c r="EO744" s="1597">
        <f t="shared" si="30"/>
        <v>0</v>
      </c>
      <c r="EP744" s="1597"/>
      <c r="EQ744" s="1597"/>
      <c r="ER744" s="1597"/>
      <c r="ES744" s="1597"/>
      <c r="ET744" s="1597">
        <f t="shared" si="31"/>
        <v>0</v>
      </c>
      <c r="EU744" s="1597"/>
      <c r="EV744" s="1597"/>
      <c r="EW744" s="1597"/>
      <c r="EX744" s="1597"/>
      <c r="EZ744" s="1606" t="str">
        <f t="shared" si="32"/>
        <v/>
      </c>
      <c r="FA744" s="1611"/>
      <c r="FB744" s="1611"/>
      <c r="FC744" s="1611"/>
      <c r="FD744" s="1607"/>
      <c r="FE744" s="1606" t="str">
        <f t="shared" si="33"/>
        <v/>
      </c>
      <c r="FF744" s="1611"/>
      <c r="FG744" s="1611"/>
      <c r="FH744" s="1611"/>
      <c r="FI744" s="1607"/>
      <c r="FJ744" s="1606" t="str">
        <f t="shared" si="34"/>
        <v/>
      </c>
      <c r="FK744" s="1611"/>
      <c r="FL744" s="1611"/>
      <c r="FM744" s="1611"/>
      <c r="FN744" s="1607"/>
      <c r="FO744" s="1606" t="str">
        <f t="shared" si="35"/>
        <v/>
      </c>
      <c r="FP744" s="1611"/>
      <c r="FQ744" s="1611"/>
      <c r="FR744" s="1611"/>
      <c r="FS744" s="1607"/>
      <c r="FT744" s="1606" t="str">
        <f t="shared" si="36"/>
        <v/>
      </c>
      <c r="FU744" s="1611"/>
      <c r="FV744" s="1611"/>
      <c r="FW744" s="1611"/>
      <c r="FX744" s="1607"/>
      <c r="FY744" s="1606" t="str">
        <f t="shared" si="37"/>
        <v/>
      </c>
      <c r="FZ744" s="1611"/>
      <c r="GA744" s="1611"/>
      <c r="GB744" s="1611"/>
      <c r="GC744" s="1607"/>
    </row>
    <row r="745" spans="1:185" ht="12.9" customHeight="1">
      <c r="B745" s="1448"/>
      <c r="C745" s="1449"/>
      <c r="D745" s="1449"/>
      <c r="E745" s="1449"/>
      <c r="F745" s="1450"/>
      <c r="G745" s="1442"/>
      <c r="H745" s="1443"/>
      <c r="I745" s="1443"/>
      <c r="J745" s="1444"/>
      <c r="K745" s="1445"/>
      <c r="L745" s="1446"/>
      <c r="M745" s="1446"/>
      <c r="N745" s="1447"/>
      <c r="O745" s="1476"/>
      <c r="P745" s="1477"/>
      <c r="Q745" s="1477"/>
      <c r="R745" s="1477"/>
      <c r="S745" s="1478"/>
      <c r="T745" s="1476"/>
      <c r="U745" s="1477"/>
      <c r="V745" s="1477"/>
      <c r="W745" s="1478"/>
      <c r="X745" s="1479">
        <f t="shared" si="10"/>
        <v>0</v>
      </c>
      <c r="Y745" s="1480"/>
      <c r="Z745" s="1480"/>
      <c r="AA745" s="1480"/>
      <c r="AB745" s="1481"/>
      <c r="AC745" s="1482"/>
      <c r="AD745" s="1483"/>
      <c r="AE745" s="1483"/>
      <c r="AF745" s="1483"/>
      <c r="AG745" s="1484"/>
      <c r="AH745" s="1500" t="str">
        <f t="shared" si="38"/>
        <v/>
      </c>
      <c r="AI745" s="1501"/>
      <c r="AJ745" s="1502"/>
      <c r="AK745" s="1448" t="s">
        <v>589</v>
      </c>
      <c r="AL745" s="1449"/>
      <c r="AM745" s="1449"/>
      <c r="AN745" s="1449"/>
      <c r="AO745" s="1450"/>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606">
        <f t="shared" si="39"/>
        <v>0</v>
      </c>
      <c r="CH745" s="1607"/>
      <c r="CI745" s="1600">
        <f t="shared" si="40"/>
        <v>0</v>
      </c>
      <c r="CJ745" s="1601"/>
      <c r="CK745" s="1606">
        <f t="shared" si="18"/>
        <v>0</v>
      </c>
      <c r="CL745" s="1607"/>
      <c r="CM745" s="1600">
        <f t="shared" si="19"/>
        <v>0</v>
      </c>
      <c r="CN745" s="1601"/>
      <c r="CO745" s="3"/>
      <c r="CP745" s="1608">
        <f t="shared" si="20"/>
        <v>0</v>
      </c>
      <c r="CQ745" s="1609"/>
      <c r="CR745" s="1609"/>
      <c r="CS745" s="1609"/>
      <c r="CT745" s="1610"/>
      <c r="CU745" s="1598">
        <f t="shared" si="21"/>
        <v>0</v>
      </c>
      <c r="CV745" s="1598"/>
      <c r="CW745" s="1598"/>
      <c r="CX745" s="1598"/>
      <c r="CY745" s="1598"/>
      <c r="CZ745" s="1598">
        <f t="shared" si="22"/>
        <v>0</v>
      </c>
      <c r="DA745" s="1598"/>
      <c r="DB745" s="1598"/>
      <c r="DC745" s="1598"/>
      <c r="DD745" s="1598"/>
      <c r="DE745" s="1598">
        <f t="shared" si="23"/>
        <v>0</v>
      </c>
      <c r="DF745" s="1598"/>
      <c r="DG745" s="1598"/>
      <c r="DH745" s="1598"/>
      <c r="DI745" s="1598"/>
      <c r="DJ745" s="1598">
        <f t="shared" si="24"/>
        <v>0</v>
      </c>
      <c r="DK745" s="1598"/>
      <c r="DL745" s="1598"/>
      <c r="DM745" s="1598"/>
      <c r="DN745" s="1598"/>
      <c r="DO745" s="1598">
        <f t="shared" si="25"/>
        <v>0</v>
      </c>
      <c r="DP745" s="1598"/>
      <c r="DQ745" s="1598"/>
      <c r="DR745" s="1598"/>
      <c r="DS745" s="1598"/>
      <c r="DT745" s="6"/>
      <c r="DU745" s="1597">
        <f t="shared" si="26"/>
        <v>0</v>
      </c>
      <c r="DV745" s="1597"/>
      <c r="DW745" s="1597"/>
      <c r="DX745" s="1597"/>
      <c r="DY745" s="1597"/>
      <c r="DZ745" s="1597">
        <f t="shared" si="27"/>
        <v>0</v>
      </c>
      <c r="EA745" s="1597"/>
      <c r="EB745" s="1597"/>
      <c r="EC745" s="1597"/>
      <c r="ED745" s="1597"/>
      <c r="EE745" s="1597">
        <f t="shared" si="28"/>
        <v>0</v>
      </c>
      <c r="EF745" s="1597"/>
      <c r="EG745" s="1597"/>
      <c r="EH745" s="1597"/>
      <c r="EI745" s="1597"/>
      <c r="EJ745" s="1597">
        <f t="shared" si="29"/>
        <v>0</v>
      </c>
      <c r="EK745" s="1597"/>
      <c r="EL745" s="1597"/>
      <c r="EM745" s="1597"/>
      <c r="EN745" s="1597"/>
      <c r="EO745" s="1597">
        <f t="shared" si="30"/>
        <v>0</v>
      </c>
      <c r="EP745" s="1597"/>
      <c r="EQ745" s="1597"/>
      <c r="ER745" s="1597"/>
      <c r="ES745" s="1597"/>
      <c r="ET745" s="1597">
        <f t="shared" si="31"/>
        <v>0</v>
      </c>
      <c r="EU745" s="1597"/>
      <c r="EV745" s="1597"/>
      <c r="EW745" s="1597"/>
      <c r="EX745" s="1597"/>
      <c r="EZ745" s="1606" t="str">
        <f t="shared" si="32"/>
        <v/>
      </c>
      <c r="FA745" s="1611"/>
      <c r="FB745" s="1611"/>
      <c r="FC745" s="1611"/>
      <c r="FD745" s="1607"/>
      <c r="FE745" s="1606" t="str">
        <f t="shared" si="33"/>
        <v/>
      </c>
      <c r="FF745" s="1611"/>
      <c r="FG745" s="1611"/>
      <c r="FH745" s="1611"/>
      <c r="FI745" s="1607"/>
      <c r="FJ745" s="1606" t="str">
        <f t="shared" si="34"/>
        <v/>
      </c>
      <c r="FK745" s="1611"/>
      <c r="FL745" s="1611"/>
      <c r="FM745" s="1611"/>
      <c r="FN745" s="1607"/>
      <c r="FO745" s="1606" t="str">
        <f t="shared" si="35"/>
        <v/>
      </c>
      <c r="FP745" s="1611"/>
      <c r="FQ745" s="1611"/>
      <c r="FR745" s="1611"/>
      <c r="FS745" s="1607"/>
      <c r="FT745" s="1606" t="str">
        <f t="shared" si="36"/>
        <v/>
      </c>
      <c r="FU745" s="1611"/>
      <c r="FV745" s="1611"/>
      <c r="FW745" s="1611"/>
      <c r="FX745" s="1607"/>
      <c r="FY745" s="1606" t="str">
        <f t="shared" si="37"/>
        <v/>
      </c>
      <c r="FZ745" s="1611"/>
      <c r="GA745" s="1611"/>
      <c r="GB745" s="1611"/>
      <c r="GC745" s="1607"/>
    </row>
    <row r="746" spans="1:185" ht="12.9" customHeight="1">
      <c r="B746" s="1448"/>
      <c r="C746" s="1449"/>
      <c r="D746" s="1449"/>
      <c r="E746" s="1449"/>
      <c r="F746" s="1450"/>
      <c r="G746" s="1442"/>
      <c r="H746" s="1443"/>
      <c r="I746" s="1443"/>
      <c r="J746" s="1444"/>
      <c r="K746" s="1445"/>
      <c r="L746" s="1446"/>
      <c r="M746" s="1446"/>
      <c r="N746" s="1447"/>
      <c r="O746" s="1476"/>
      <c r="P746" s="1477"/>
      <c r="Q746" s="1477"/>
      <c r="R746" s="1477"/>
      <c r="S746" s="1478"/>
      <c r="T746" s="1476"/>
      <c r="U746" s="1477"/>
      <c r="V746" s="1477"/>
      <c r="W746" s="1478"/>
      <c r="X746" s="1479">
        <f t="shared" si="10"/>
        <v>0</v>
      </c>
      <c r="Y746" s="1480"/>
      <c r="Z746" s="1480"/>
      <c r="AA746" s="1480"/>
      <c r="AB746" s="1481"/>
      <c r="AC746" s="1482"/>
      <c r="AD746" s="1483"/>
      <c r="AE746" s="1483"/>
      <c r="AF746" s="1483"/>
      <c r="AG746" s="1484"/>
      <c r="AH746" s="1500" t="str">
        <f t="shared" si="38"/>
        <v/>
      </c>
      <c r="AI746" s="1501"/>
      <c r="AJ746" s="1502"/>
      <c r="AK746" s="1448" t="s">
        <v>589</v>
      </c>
      <c r="AL746" s="1449"/>
      <c r="AM746" s="1449"/>
      <c r="AN746" s="1449"/>
      <c r="AO746" s="1450"/>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606">
        <f t="shared" si="39"/>
        <v>0</v>
      </c>
      <c r="CH746" s="1607"/>
      <c r="CI746" s="1600">
        <f t="shared" si="40"/>
        <v>0</v>
      </c>
      <c r="CJ746" s="1601"/>
      <c r="CK746" s="1606">
        <f t="shared" si="18"/>
        <v>0</v>
      </c>
      <c r="CL746" s="1607"/>
      <c r="CM746" s="1600">
        <f t="shared" si="19"/>
        <v>0</v>
      </c>
      <c r="CN746" s="1601"/>
      <c r="CO746" s="3"/>
      <c r="CP746" s="1608">
        <f t="shared" si="20"/>
        <v>0</v>
      </c>
      <c r="CQ746" s="1609"/>
      <c r="CR746" s="1609"/>
      <c r="CS746" s="1609"/>
      <c r="CT746" s="1610"/>
      <c r="CU746" s="1598">
        <f t="shared" si="21"/>
        <v>0</v>
      </c>
      <c r="CV746" s="1598"/>
      <c r="CW746" s="1598"/>
      <c r="CX746" s="1598"/>
      <c r="CY746" s="1598"/>
      <c r="CZ746" s="1598">
        <f t="shared" si="22"/>
        <v>0</v>
      </c>
      <c r="DA746" s="1598"/>
      <c r="DB746" s="1598"/>
      <c r="DC746" s="1598"/>
      <c r="DD746" s="1598"/>
      <c r="DE746" s="1598">
        <f t="shared" si="23"/>
        <v>0</v>
      </c>
      <c r="DF746" s="1598"/>
      <c r="DG746" s="1598"/>
      <c r="DH746" s="1598"/>
      <c r="DI746" s="1598"/>
      <c r="DJ746" s="1598">
        <f t="shared" si="24"/>
        <v>0</v>
      </c>
      <c r="DK746" s="1598"/>
      <c r="DL746" s="1598"/>
      <c r="DM746" s="1598"/>
      <c r="DN746" s="1598"/>
      <c r="DO746" s="1598">
        <f t="shared" si="25"/>
        <v>0</v>
      </c>
      <c r="DP746" s="1598"/>
      <c r="DQ746" s="1598"/>
      <c r="DR746" s="1598"/>
      <c r="DS746" s="1598"/>
      <c r="DT746" s="6"/>
      <c r="DU746" s="1597">
        <f t="shared" si="26"/>
        <v>0</v>
      </c>
      <c r="DV746" s="1597"/>
      <c r="DW746" s="1597"/>
      <c r="DX746" s="1597"/>
      <c r="DY746" s="1597"/>
      <c r="DZ746" s="1597">
        <f t="shared" si="27"/>
        <v>0</v>
      </c>
      <c r="EA746" s="1597"/>
      <c r="EB746" s="1597"/>
      <c r="EC746" s="1597"/>
      <c r="ED746" s="1597"/>
      <c r="EE746" s="1597">
        <f t="shared" si="28"/>
        <v>0</v>
      </c>
      <c r="EF746" s="1597"/>
      <c r="EG746" s="1597"/>
      <c r="EH746" s="1597"/>
      <c r="EI746" s="1597"/>
      <c r="EJ746" s="1597">
        <f t="shared" si="29"/>
        <v>0</v>
      </c>
      <c r="EK746" s="1597"/>
      <c r="EL746" s="1597"/>
      <c r="EM746" s="1597"/>
      <c r="EN746" s="1597"/>
      <c r="EO746" s="1597">
        <f t="shared" si="30"/>
        <v>0</v>
      </c>
      <c r="EP746" s="1597"/>
      <c r="EQ746" s="1597"/>
      <c r="ER746" s="1597"/>
      <c r="ES746" s="1597"/>
      <c r="ET746" s="1597">
        <f t="shared" si="31"/>
        <v>0</v>
      </c>
      <c r="EU746" s="1597"/>
      <c r="EV746" s="1597"/>
      <c r="EW746" s="1597"/>
      <c r="EX746" s="1597"/>
      <c r="EZ746" s="1606" t="str">
        <f t="shared" si="32"/>
        <v/>
      </c>
      <c r="FA746" s="1611"/>
      <c r="FB746" s="1611"/>
      <c r="FC746" s="1611"/>
      <c r="FD746" s="1607"/>
      <c r="FE746" s="1606" t="str">
        <f t="shared" si="33"/>
        <v/>
      </c>
      <c r="FF746" s="1611"/>
      <c r="FG746" s="1611"/>
      <c r="FH746" s="1611"/>
      <c r="FI746" s="1607"/>
      <c r="FJ746" s="1606" t="str">
        <f t="shared" si="34"/>
        <v/>
      </c>
      <c r="FK746" s="1611"/>
      <c r="FL746" s="1611"/>
      <c r="FM746" s="1611"/>
      <c r="FN746" s="1607"/>
      <c r="FO746" s="1606" t="str">
        <f t="shared" si="35"/>
        <v/>
      </c>
      <c r="FP746" s="1611"/>
      <c r="FQ746" s="1611"/>
      <c r="FR746" s="1611"/>
      <c r="FS746" s="1607"/>
      <c r="FT746" s="1606" t="str">
        <f t="shared" si="36"/>
        <v/>
      </c>
      <c r="FU746" s="1611"/>
      <c r="FV746" s="1611"/>
      <c r="FW746" s="1611"/>
      <c r="FX746" s="1607"/>
      <c r="FY746" s="1606" t="str">
        <f t="shared" si="37"/>
        <v/>
      </c>
      <c r="FZ746" s="1611"/>
      <c r="GA746" s="1611"/>
      <c r="GB746" s="1611"/>
      <c r="GC746" s="1607"/>
    </row>
    <row r="747" spans="1:185" ht="12.9" customHeight="1">
      <c r="B747" s="1448"/>
      <c r="C747" s="1449"/>
      <c r="D747" s="1449"/>
      <c r="E747" s="1449"/>
      <c r="F747" s="1450"/>
      <c r="G747" s="1442"/>
      <c r="H747" s="1443"/>
      <c r="I747" s="1443"/>
      <c r="J747" s="1444"/>
      <c r="K747" s="1445"/>
      <c r="L747" s="1446"/>
      <c r="M747" s="1446"/>
      <c r="N747" s="1447"/>
      <c r="O747" s="1476"/>
      <c r="P747" s="1477"/>
      <c r="Q747" s="1477"/>
      <c r="R747" s="1477"/>
      <c r="S747" s="1478"/>
      <c r="T747" s="1476"/>
      <c r="U747" s="1477"/>
      <c r="V747" s="1477"/>
      <c r="W747" s="1478"/>
      <c r="X747" s="1479">
        <f t="shared" si="10"/>
        <v>0</v>
      </c>
      <c r="Y747" s="1480"/>
      <c r="Z747" s="1480"/>
      <c r="AA747" s="1480"/>
      <c r="AB747" s="1481"/>
      <c r="AC747" s="1482"/>
      <c r="AD747" s="1483"/>
      <c r="AE747" s="1483"/>
      <c r="AF747" s="1483"/>
      <c r="AG747" s="1484"/>
      <c r="AH747" s="1500" t="str">
        <f t="shared" si="38"/>
        <v/>
      </c>
      <c r="AI747" s="1501"/>
      <c r="AJ747" s="1502"/>
      <c r="AK747" s="1448" t="s">
        <v>589</v>
      </c>
      <c r="AL747" s="1449"/>
      <c r="AM747" s="1449"/>
      <c r="AN747" s="1449"/>
      <c r="AO747" s="1450"/>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606">
        <f t="shared" si="39"/>
        <v>0</v>
      </c>
      <c r="CH747" s="1607"/>
      <c r="CI747" s="1600">
        <f t="shared" si="40"/>
        <v>0</v>
      </c>
      <c r="CJ747" s="1601"/>
      <c r="CK747" s="1606">
        <f t="shared" si="18"/>
        <v>0</v>
      </c>
      <c r="CL747" s="1607"/>
      <c r="CM747" s="1600">
        <f t="shared" si="19"/>
        <v>0</v>
      </c>
      <c r="CN747" s="1601"/>
      <c r="CO747" s="3"/>
      <c r="CP747" s="1608">
        <f t="shared" si="20"/>
        <v>0</v>
      </c>
      <c r="CQ747" s="1609"/>
      <c r="CR747" s="1609"/>
      <c r="CS747" s="1609"/>
      <c r="CT747" s="1610"/>
      <c r="CU747" s="1598">
        <f t="shared" si="21"/>
        <v>0</v>
      </c>
      <c r="CV747" s="1598"/>
      <c r="CW747" s="1598"/>
      <c r="CX747" s="1598"/>
      <c r="CY747" s="1598"/>
      <c r="CZ747" s="1598">
        <f t="shared" si="22"/>
        <v>0</v>
      </c>
      <c r="DA747" s="1598"/>
      <c r="DB747" s="1598"/>
      <c r="DC747" s="1598"/>
      <c r="DD747" s="1598"/>
      <c r="DE747" s="1598">
        <f t="shared" si="23"/>
        <v>0</v>
      </c>
      <c r="DF747" s="1598"/>
      <c r="DG747" s="1598"/>
      <c r="DH747" s="1598"/>
      <c r="DI747" s="1598"/>
      <c r="DJ747" s="1598">
        <f t="shared" si="24"/>
        <v>0</v>
      </c>
      <c r="DK747" s="1598"/>
      <c r="DL747" s="1598"/>
      <c r="DM747" s="1598"/>
      <c r="DN747" s="1598"/>
      <c r="DO747" s="1598">
        <f t="shared" si="25"/>
        <v>0</v>
      </c>
      <c r="DP747" s="1598"/>
      <c r="DQ747" s="1598"/>
      <c r="DR747" s="1598"/>
      <c r="DS747" s="1598"/>
      <c r="DT747" s="6"/>
      <c r="DU747" s="1597">
        <f t="shared" si="26"/>
        <v>0</v>
      </c>
      <c r="DV747" s="1597"/>
      <c r="DW747" s="1597"/>
      <c r="DX747" s="1597"/>
      <c r="DY747" s="1597"/>
      <c r="DZ747" s="1597">
        <f t="shared" si="27"/>
        <v>0</v>
      </c>
      <c r="EA747" s="1597"/>
      <c r="EB747" s="1597"/>
      <c r="EC747" s="1597"/>
      <c r="ED747" s="1597"/>
      <c r="EE747" s="1597">
        <f t="shared" si="28"/>
        <v>0</v>
      </c>
      <c r="EF747" s="1597"/>
      <c r="EG747" s="1597"/>
      <c r="EH747" s="1597"/>
      <c r="EI747" s="1597"/>
      <c r="EJ747" s="1597">
        <f t="shared" si="29"/>
        <v>0</v>
      </c>
      <c r="EK747" s="1597"/>
      <c r="EL747" s="1597"/>
      <c r="EM747" s="1597"/>
      <c r="EN747" s="1597"/>
      <c r="EO747" s="1597">
        <f t="shared" si="30"/>
        <v>0</v>
      </c>
      <c r="EP747" s="1597"/>
      <c r="EQ747" s="1597"/>
      <c r="ER747" s="1597"/>
      <c r="ES747" s="1597"/>
      <c r="ET747" s="1597">
        <f t="shared" si="31"/>
        <v>0</v>
      </c>
      <c r="EU747" s="1597"/>
      <c r="EV747" s="1597"/>
      <c r="EW747" s="1597"/>
      <c r="EX747" s="1597"/>
      <c r="EZ747" s="1606" t="str">
        <f t="shared" si="32"/>
        <v/>
      </c>
      <c r="FA747" s="1611"/>
      <c r="FB747" s="1611"/>
      <c r="FC747" s="1611"/>
      <c r="FD747" s="1607"/>
      <c r="FE747" s="1606" t="str">
        <f t="shared" si="33"/>
        <v/>
      </c>
      <c r="FF747" s="1611"/>
      <c r="FG747" s="1611"/>
      <c r="FH747" s="1611"/>
      <c r="FI747" s="1607"/>
      <c r="FJ747" s="1606" t="str">
        <f t="shared" si="34"/>
        <v/>
      </c>
      <c r="FK747" s="1611"/>
      <c r="FL747" s="1611"/>
      <c r="FM747" s="1611"/>
      <c r="FN747" s="1607"/>
      <c r="FO747" s="1606" t="str">
        <f t="shared" si="35"/>
        <v/>
      </c>
      <c r="FP747" s="1611"/>
      <c r="FQ747" s="1611"/>
      <c r="FR747" s="1611"/>
      <c r="FS747" s="1607"/>
      <c r="FT747" s="1606" t="str">
        <f t="shared" si="36"/>
        <v/>
      </c>
      <c r="FU747" s="1611"/>
      <c r="FV747" s="1611"/>
      <c r="FW747" s="1611"/>
      <c r="FX747" s="1607"/>
      <c r="FY747" s="1606" t="str">
        <f t="shared" si="37"/>
        <v/>
      </c>
      <c r="FZ747" s="1611"/>
      <c r="GA747" s="1611"/>
      <c r="GB747" s="1611"/>
      <c r="GC747" s="1607"/>
    </row>
    <row r="748" spans="1:185" ht="12.9" customHeight="1">
      <c r="B748" s="1448"/>
      <c r="C748" s="1449"/>
      <c r="D748" s="1449"/>
      <c r="E748" s="1449"/>
      <c r="F748" s="1450"/>
      <c r="G748" s="1442"/>
      <c r="H748" s="1443"/>
      <c r="I748" s="1443"/>
      <c r="J748" s="1444"/>
      <c r="K748" s="1445"/>
      <c r="L748" s="1446"/>
      <c r="M748" s="1446"/>
      <c r="N748" s="1447"/>
      <c r="O748" s="1476"/>
      <c r="P748" s="1477"/>
      <c r="Q748" s="1477"/>
      <c r="R748" s="1477"/>
      <c r="S748" s="1478"/>
      <c r="T748" s="1476"/>
      <c r="U748" s="1477"/>
      <c r="V748" s="1477"/>
      <c r="W748" s="1478"/>
      <c r="X748" s="1479">
        <f t="shared" si="10"/>
        <v>0</v>
      </c>
      <c r="Y748" s="1480"/>
      <c r="Z748" s="1480"/>
      <c r="AA748" s="1480"/>
      <c r="AB748" s="1481"/>
      <c r="AC748" s="1482"/>
      <c r="AD748" s="1483"/>
      <c r="AE748" s="1483"/>
      <c r="AF748" s="1483"/>
      <c r="AG748" s="1484"/>
      <c r="AH748" s="1500" t="str">
        <f t="shared" si="38"/>
        <v/>
      </c>
      <c r="AI748" s="1501"/>
      <c r="AJ748" s="1502"/>
      <c r="AK748" s="1448" t="s">
        <v>589</v>
      </c>
      <c r="AL748" s="1449"/>
      <c r="AM748" s="1449"/>
      <c r="AN748" s="1449"/>
      <c r="AO748" s="1450"/>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606">
        <f t="shared" si="39"/>
        <v>0</v>
      </c>
      <c r="CH748" s="1607"/>
      <c r="CI748" s="1600">
        <f t="shared" si="40"/>
        <v>0</v>
      </c>
      <c r="CJ748" s="1601"/>
      <c r="CK748" s="1606">
        <f t="shared" si="18"/>
        <v>0</v>
      </c>
      <c r="CL748" s="1607"/>
      <c r="CM748" s="1600">
        <f t="shared" si="19"/>
        <v>0</v>
      </c>
      <c r="CN748" s="1601"/>
      <c r="CO748" s="3"/>
      <c r="CP748" s="1608">
        <f t="shared" si="20"/>
        <v>0</v>
      </c>
      <c r="CQ748" s="1609"/>
      <c r="CR748" s="1609"/>
      <c r="CS748" s="1609"/>
      <c r="CT748" s="1610"/>
      <c r="CU748" s="1598">
        <f t="shared" si="21"/>
        <v>0</v>
      </c>
      <c r="CV748" s="1598"/>
      <c r="CW748" s="1598"/>
      <c r="CX748" s="1598"/>
      <c r="CY748" s="1598"/>
      <c r="CZ748" s="1598">
        <f t="shared" si="22"/>
        <v>0</v>
      </c>
      <c r="DA748" s="1598"/>
      <c r="DB748" s="1598"/>
      <c r="DC748" s="1598"/>
      <c r="DD748" s="1598"/>
      <c r="DE748" s="1598">
        <f t="shared" si="23"/>
        <v>0</v>
      </c>
      <c r="DF748" s="1598"/>
      <c r="DG748" s="1598"/>
      <c r="DH748" s="1598"/>
      <c r="DI748" s="1598"/>
      <c r="DJ748" s="1598">
        <f t="shared" si="24"/>
        <v>0</v>
      </c>
      <c r="DK748" s="1598"/>
      <c r="DL748" s="1598"/>
      <c r="DM748" s="1598"/>
      <c r="DN748" s="1598"/>
      <c r="DO748" s="1598">
        <f t="shared" si="25"/>
        <v>0</v>
      </c>
      <c r="DP748" s="1598"/>
      <c r="DQ748" s="1598"/>
      <c r="DR748" s="1598"/>
      <c r="DS748" s="1598"/>
      <c r="DT748" s="6"/>
      <c r="DU748" s="1597">
        <f t="shared" si="26"/>
        <v>0</v>
      </c>
      <c r="DV748" s="1597"/>
      <c r="DW748" s="1597"/>
      <c r="DX748" s="1597"/>
      <c r="DY748" s="1597"/>
      <c r="DZ748" s="1597">
        <f t="shared" si="27"/>
        <v>0</v>
      </c>
      <c r="EA748" s="1597"/>
      <c r="EB748" s="1597"/>
      <c r="EC748" s="1597"/>
      <c r="ED748" s="1597"/>
      <c r="EE748" s="1597">
        <f t="shared" si="28"/>
        <v>0</v>
      </c>
      <c r="EF748" s="1597"/>
      <c r="EG748" s="1597"/>
      <c r="EH748" s="1597"/>
      <c r="EI748" s="1597"/>
      <c r="EJ748" s="1597">
        <f t="shared" si="29"/>
        <v>0</v>
      </c>
      <c r="EK748" s="1597"/>
      <c r="EL748" s="1597"/>
      <c r="EM748" s="1597"/>
      <c r="EN748" s="1597"/>
      <c r="EO748" s="1597">
        <f t="shared" si="30"/>
        <v>0</v>
      </c>
      <c r="EP748" s="1597"/>
      <c r="EQ748" s="1597"/>
      <c r="ER748" s="1597"/>
      <c r="ES748" s="1597"/>
      <c r="ET748" s="1597">
        <f t="shared" si="31"/>
        <v>0</v>
      </c>
      <c r="EU748" s="1597"/>
      <c r="EV748" s="1597"/>
      <c r="EW748" s="1597"/>
      <c r="EX748" s="1597"/>
      <c r="EZ748" s="1606" t="str">
        <f t="shared" si="32"/>
        <v/>
      </c>
      <c r="FA748" s="1611"/>
      <c r="FB748" s="1611"/>
      <c r="FC748" s="1611"/>
      <c r="FD748" s="1607"/>
      <c r="FE748" s="1606" t="str">
        <f t="shared" si="33"/>
        <v/>
      </c>
      <c r="FF748" s="1611"/>
      <c r="FG748" s="1611"/>
      <c r="FH748" s="1611"/>
      <c r="FI748" s="1607"/>
      <c r="FJ748" s="1606" t="str">
        <f t="shared" si="34"/>
        <v/>
      </c>
      <c r="FK748" s="1611"/>
      <c r="FL748" s="1611"/>
      <c r="FM748" s="1611"/>
      <c r="FN748" s="1607"/>
      <c r="FO748" s="1606" t="str">
        <f t="shared" si="35"/>
        <v/>
      </c>
      <c r="FP748" s="1611"/>
      <c r="FQ748" s="1611"/>
      <c r="FR748" s="1611"/>
      <c r="FS748" s="1607"/>
      <c r="FT748" s="1606" t="str">
        <f t="shared" si="36"/>
        <v/>
      </c>
      <c r="FU748" s="1611"/>
      <c r="FV748" s="1611"/>
      <c r="FW748" s="1611"/>
      <c r="FX748" s="1607"/>
      <c r="FY748" s="1606" t="str">
        <f t="shared" si="37"/>
        <v/>
      </c>
      <c r="FZ748" s="1611"/>
      <c r="GA748" s="1611"/>
      <c r="GB748" s="1611"/>
      <c r="GC748" s="1607"/>
    </row>
    <row r="749" spans="1:185" ht="12.9" customHeight="1">
      <c r="B749" s="1448"/>
      <c r="C749" s="1449"/>
      <c r="D749" s="1449"/>
      <c r="E749" s="1449"/>
      <c r="F749" s="1450"/>
      <c r="G749" s="1442"/>
      <c r="H749" s="1443"/>
      <c r="I749" s="1443"/>
      <c r="J749" s="1444"/>
      <c r="K749" s="1445"/>
      <c r="L749" s="1446"/>
      <c r="M749" s="1446"/>
      <c r="N749" s="1447"/>
      <c r="O749" s="1476"/>
      <c r="P749" s="1477"/>
      <c r="Q749" s="1477"/>
      <c r="R749" s="1477"/>
      <c r="S749" s="1478"/>
      <c r="T749" s="1476"/>
      <c r="U749" s="1477"/>
      <c r="V749" s="1477"/>
      <c r="W749" s="1478"/>
      <c r="X749" s="1479">
        <f t="shared" si="10"/>
        <v>0</v>
      </c>
      <c r="Y749" s="1480"/>
      <c r="Z749" s="1480"/>
      <c r="AA749" s="1480"/>
      <c r="AB749" s="1481"/>
      <c r="AC749" s="1482"/>
      <c r="AD749" s="1483"/>
      <c r="AE749" s="1483"/>
      <c r="AF749" s="1483"/>
      <c r="AG749" s="1484"/>
      <c r="AH749" s="1500" t="str">
        <f t="shared" si="38"/>
        <v/>
      </c>
      <c r="AI749" s="1501"/>
      <c r="AJ749" s="1502"/>
      <c r="AK749" s="1448" t="s">
        <v>589</v>
      </c>
      <c r="AL749" s="1449"/>
      <c r="AM749" s="1449"/>
      <c r="AN749" s="1449"/>
      <c r="AO749" s="1450"/>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606">
        <f t="shared" si="39"/>
        <v>0</v>
      </c>
      <c r="CH749" s="1607"/>
      <c r="CI749" s="1600">
        <f t="shared" si="40"/>
        <v>0</v>
      </c>
      <c r="CJ749" s="1601"/>
      <c r="CK749" s="1606">
        <f t="shared" si="18"/>
        <v>0</v>
      </c>
      <c r="CL749" s="1607"/>
      <c r="CM749" s="1600">
        <f t="shared" si="19"/>
        <v>0</v>
      </c>
      <c r="CN749" s="1601"/>
      <c r="CO749" s="3"/>
      <c r="CP749" s="1608">
        <f t="shared" si="20"/>
        <v>0</v>
      </c>
      <c r="CQ749" s="1609"/>
      <c r="CR749" s="1609"/>
      <c r="CS749" s="1609"/>
      <c r="CT749" s="1610"/>
      <c r="CU749" s="1598">
        <f t="shared" si="21"/>
        <v>0</v>
      </c>
      <c r="CV749" s="1598"/>
      <c r="CW749" s="1598"/>
      <c r="CX749" s="1598"/>
      <c r="CY749" s="1598"/>
      <c r="CZ749" s="1598">
        <f t="shared" si="22"/>
        <v>0</v>
      </c>
      <c r="DA749" s="1598"/>
      <c r="DB749" s="1598"/>
      <c r="DC749" s="1598"/>
      <c r="DD749" s="1598"/>
      <c r="DE749" s="1598">
        <f t="shared" si="23"/>
        <v>0</v>
      </c>
      <c r="DF749" s="1598"/>
      <c r="DG749" s="1598"/>
      <c r="DH749" s="1598"/>
      <c r="DI749" s="1598"/>
      <c r="DJ749" s="1598">
        <f t="shared" si="24"/>
        <v>0</v>
      </c>
      <c r="DK749" s="1598"/>
      <c r="DL749" s="1598"/>
      <c r="DM749" s="1598"/>
      <c r="DN749" s="1598"/>
      <c r="DO749" s="1598">
        <f t="shared" si="25"/>
        <v>0</v>
      </c>
      <c r="DP749" s="1598"/>
      <c r="DQ749" s="1598"/>
      <c r="DR749" s="1598"/>
      <c r="DS749" s="1598"/>
      <c r="DT749" s="6"/>
      <c r="DU749" s="1597">
        <f t="shared" si="26"/>
        <v>0</v>
      </c>
      <c r="DV749" s="1597"/>
      <c r="DW749" s="1597"/>
      <c r="DX749" s="1597"/>
      <c r="DY749" s="1597"/>
      <c r="DZ749" s="1597">
        <f t="shared" si="27"/>
        <v>0</v>
      </c>
      <c r="EA749" s="1597"/>
      <c r="EB749" s="1597"/>
      <c r="EC749" s="1597"/>
      <c r="ED749" s="1597"/>
      <c r="EE749" s="1597">
        <f t="shared" si="28"/>
        <v>0</v>
      </c>
      <c r="EF749" s="1597"/>
      <c r="EG749" s="1597"/>
      <c r="EH749" s="1597"/>
      <c r="EI749" s="1597"/>
      <c r="EJ749" s="1597">
        <f t="shared" si="29"/>
        <v>0</v>
      </c>
      <c r="EK749" s="1597"/>
      <c r="EL749" s="1597"/>
      <c r="EM749" s="1597"/>
      <c r="EN749" s="1597"/>
      <c r="EO749" s="1597">
        <f t="shared" si="30"/>
        <v>0</v>
      </c>
      <c r="EP749" s="1597"/>
      <c r="EQ749" s="1597"/>
      <c r="ER749" s="1597"/>
      <c r="ES749" s="1597"/>
      <c r="ET749" s="1597">
        <f t="shared" si="31"/>
        <v>0</v>
      </c>
      <c r="EU749" s="1597"/>
      <c r="EV749" s="1597"/>
      <c r="EW749" s="1597"/>
      <c r="EX749" s="1597"/>
      <c r="EZ749" s="1606" t="str">
        <f t="shared" si="32"/>
        <v/>
      </c>
      <c r="FA749" s="1611"/>
      <c r="FB749" s="1611"/>
      <c r="FC749" s="1611"/>
      <c r="FD749" s="1607"/>
      <c r="FE749" s="1606" t="str">
        <f t="shared" si="33"/>
        <v/>
      </c>
      <c r="FF749" s="1611"/>
      <c r="FG749" s="1611"/>
      <c r="FH749" s="1611"/>
      <c r="FI749" s="1607"/>
      <c r="FJ749" s="1606" t="str">
        <f t="shared" si="34"/>
        <v/>
      </c>
      <c r="FK749" s="1611"/>
      <c r="FL749" s="1611"/>
      <c r="FM749" s="1611"/>
      <c r="FN749" s="1607"/>
      <c r="FO749" s="1606" t="str">
        <f t="shared" si="35"/>
        <v/>
      </c>
      <c r="FP749" s="1611"/>
      <c r="FQ749" s="1611"/>
      <c r="FR749" s="1611"/>
      <c r="FS749" s="1607"/>
      <c r="FT749" s="1606" t="str">
        <f t="shared" si="36"/>
        <v/>
      </c>
      <c r="FU749" s="1611"/>
      <c r="FV749" s="1611"/>
      <c r="FW749" s="1611"/>
      <c r="FX749" s="1607"/>
      <c r="FY749" s="1606" t="str">
        <f t="shared" si="37"/>
        <v/>
      </c>
      <c r="FZ749" s="1611"/>
      <c r="GA749" s="1611"/>
      <c r="GB749" s="1611"/>
      <c r="GC749" s="1607"/>
    </row>
    <row r="750" spans="1:185" ht="12.9" customHeight="1">
      <c r="B750" s="1448"/>
      <c r="C750" s="1449"/>
      <c r="D750" s="1449"/>
      <c r="E750" s="1449"/>
      <c r="F750" s="1450"/>
      <c r="G750" s="1442"/>
      <c r="H750" s="1443"/>
      <c r="I750" s="1443"/>
      <c r="J750" s="1444"/>
      <c r="K750" s="1445"/>
      <c r="L750" s="1446"/>
      <c r="M750" s="1446"/>
      <c r="N750" s="1447"/>
      <c r="O750" s="1476"/>
      <c r="P750" s="1477"/>
      <c r="Q750" s="1477"/>
      <c r="R750" s="1477"/>
      <c r="S750" s="1478"/>
      <c r="T750" s="1476"/>
      <c r="U750" s="1477"/>
      <c r="V750" s="1477"/>
      <c r="W750" s="1478"/>
      <c r="X750" s="1479">
        <f t="shared" ref="X750:X759" si="41">O750+T750</f>
        <v>0</v>
      </c>
      <c r="Y750" s="1480"/>
      <c r="Z750" s="1480"/>
      <c r="AA750" s="1480"/>
      <c r="AB750" s="1481"/>
      <c r="AC750" s="1482"/>
      <c r="AD750" s="1483"/>
      <c r="AE750" s="1483"/>
      <c r="AF750" s="1483"/>
      <c r="AG750" s="1484"/>
      <c r="AH750" s="1500" t="str">
        <f t="shared" si="38"/>
        <v/>
      </c>
      <c r="AI750" s="1501"/>
      <c r="AJ750" s="1502"/>
      <c r="AK750" s="1448" t="s">
        <v>589</v>
      </c>
      <c r="AL750" s="1449"/>
      <c r="AM750" s="1449"/>
      <c r="AN750" s="1449"/>
      <c r="AO750" s="1450"/>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606">
        <f t="shared" si="39"/>
        <v>0</v>
      </c>
      <c r="CH750" s="1607"/>
      <c r="CI750" s="1600">
        <f t="shared" si="40"/>
        <v>0</v>
      </c>
      <c r="CJ750" s="1601"/>
      <c r="CK750" s="1606">
        <f t="shared" si="18"/>
        <v>0</v>
      </c>
      <c r="CL750" s="1607"/>
      <c r="CM750" s="1600">
        <f t="shared" si="19"/>
        <v>0</v>
      </c>
      <c r="CN750" s="1601"/>
      <c r="CO750" s="3"/>
      <c r="CP750" s="1608">
        <f t="shared" si="20"/>
        <v>0</v>
      </c>
      <c r="CQ750" s="1609"/>
      <c r="CR750" s="1609"/>
      <c r="CS750" s="1609"/>
      <c r="CT750" s="1610"/>
      <c r="CU750" s="1598">
        <f t="shared" si="21"/>
        <v>0</v>
      </c>
      <c r="CV750" s="1598"/>
      <c r="CW750" s="1598"/>
      <c r="CX750" s="1598"/>
      <c r="CY750" s="1598"/>
      <c r="CZ750" s="1598">
        <f t="shared" si="22"/>
        <v>0</v>
      </c>
      <c r="DA750" s="1598"/>
      <c r="DB750" s="1598"/>
      <c r="DC750" s="1598"/>
      <c r="DD750" s="1598"/>
      <c r="DE750" s="1598">
        <f t="shared" si="23"/>
        <v>0</v>
      </c>
      <c r="DF750" s="1598"/>
      <c r="DG750" s="1598"/>
      <c r="DH750" s="1598"/>
      <c r="DI750" s="1598"/>
      <c r="DJ750" s="1598">
        <f t="shared" si="24"/>
        <v>0</v>
      </c>
      <c r="DK750" s="1598"/>
      <c r="DL750" s="1598"/>
      <c r="DM750" s="1598"/>
      <c r="DN750" s="1598"/>
      <c r="DO750" s="1598">
        <f t="shared" si="25"/>
        <v>0</v>
      </c>
      <c r="DP750" s="1598"/>
      <c r="DQ750" s="1598"/>
      <c r="DR750" s="1598"/>
      <c r="DS750" s="1598"/>
      <c r="DT750" s="6"/>
      <c r="DU750" s="1597">
        <f t="shared" si="26"/>
        <v>0</v>
      </c>
      <c r="DV750" s="1597"/>
      <c r="DW750" s="1597"/>
      <c r="DX750" s="1597"/>
      <c r="DY750" s="1597"/>
      <c r="DZ750" s="1597">
        <f t="shared" si="27"/>
        <v>0</v>
      </c>
      <c r="EA750" s="1597"/>
      <c r="EB750" s="1597"/>
      <c r="EC750" s="1597"/>
      <c r="ED750" s="1597"/>
      <c r="EE750" s="1597">
        <f t="shared" si="28"/>
        <v>0</v>
      </c>
      <c r="EF750" s="1597"/>
      <c r="EG750" s="1597"/>
      <c r="EH750" s="1597"/>
      <c r="EI750" s="1597"/>
      <c r="EJ750" s="1597">
        <f t="shared" si="29"/>
        <v>0</v>
      </c>
      <c r="EK750" s="1597"/>
      <c r="EL750" s="1597"/>
      <c r="EM750" s="1597"/>
      <c r="EN750" s="1597"/>
      <c r="EO750" s="1597">
        <f t="shared" si="30"/>
        <v>0</v>
      </c>
      <c r="EP750" s="1597"/>
      <c r="EQ750" s="1597"/>
      <c r="ER750" s="1597"/>
      <c r="ES750" s="1597"/>
      <c r="ET750" s="1597">
        <f t="shared" si="31"/>
        <v>0</v>
      </c>
      <c r="EU750" s="1597"/>
      <c r="EV750" s="1597"/>
      <c r="EW750" s="1597"/>
      <c r="EX750" s="1597"/>
      <c r="EZ750" s="1606" t="str">
        <f t="shared" si="32"/>
        <v/>
      </c>
      <c r="FA750" s="1611"/>
      <c r="FB750" s="1611"/>
      <c r="FC750" s="1611"/>
      <c r="FD750" s="1607"/>
      <c r="FE750" s="1606" t="str">
        <f t="shared" si="33"/>
        <v/>
      </c>
      <c r="FF750" s="1611"/>
      <c r="FG750" s="1611"/>
      <c r="FH750" s="1611"/>
      <c r="FI750" s="1607"/>
      <c r="FJ750" s="1606" t="str">
        <f t="shared" si="34"/>
        <v/>
      </c>
      <c r="FK750" s="1611"/>
      <c r="FL750" s="1611"/>
      <c r="FM750" s="1611"/>
      <c r="FN750" s="1607"/>
      <c r="FO750" s="1606" t="str">
        <f t="shared" si="35"/>
        <v/>
      </c>
      <c r="FP750" s="1611"/>
      <c r="FQ750" s="1611"/>
      <c r="FR750" s="1611"/>
      <c r="FS750" s="1607"/>
      <c r="FT750" s="1606" t="str">
        <f t="shared" si="36"/>
        <v/>
      </c>
      <c r="FU750" s="1611"/>
      <c r="FV750" s="1611"/>
      <c r="FW750" s="1611"/>
      <c r="FX750" s="1607"/>
      <c r="FY750" s="1606" t="str">
        <f t="shared" si="37"/>
        <v/>
      </c>
      <c r="FZ750" s="1611"/>
      <c r="GA750" s="1611"/>
      <c r="GB750" s="1611"/>
      <c r="GC750" s="1607"/>
    </row>
    <row r="751" spans="1:185" s="3" customFormat="1" ht="12.9" customHeight="1">
      <c r="A751"/>
      <c r="B751" s="1448"/>
      <c r="C751" s="1449"/>
      <c r="D751" s="1449"/>
      <c r="E751" s="1449"/>
      <c r="F751" s="1450"/>
      <c r="G751" s="1442"/>
      <c r="H751" s="1443"/>
      <c r="I751" s="1443"/>
      <c r="J751" s="1444"/>
      <c r="K751" s="1445"/>
      <c r="L751" s="1446"/>
      <c r="M751" s="1446"/>
      <c r="N751" s="1447"/>
      <c r="O751" s="1476"/>
      <c r="P751" s="1477"/>
      <c r="Q751" s="1477"/>
      <c r="R751" s="1477"/>
      <c r="S751" s="1478"/>
      <c r="T751" s="1476"/>
      <c r="U751" s="1477"/>
      <c r="V751" s="1477"/>
      <c r="W751" s="1478"/>
      <c r="X751" s="1479">
        <f t="shared" si="41"/>
        <v>0</v>
      </c>
      <c r="Y751" s="1480"/>
      <c r="Z751" s="1480"/>
      <c r="AA751" s="1480"/>
      <c r="AB751" s="1481"/>
      <c r="AC751" s="1482"/>
      <c r="AD751" s="1483"/>
      <c r="AE751" s="1483"/>
      <c r="AF751" s="1483"/>
      <c r="AG751" s="1484"/>
      <c r="AH751" s="1500" t="str">
        <f t="shared" si="38"/>
        <v/>
      </c>
      <c r="AI751" s="1501"/>
      <c r="AJ751" s="1502"/>
      <c r="AK751" s="1448" t="s">
        <v>589</v>
      </c>
      <c r="AL751" s="1449"/>
      <c r="AM751" s="1449"/>
      <c r="AN751" s="1449"/>
      <c r="AO751" s="1450"/>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606">
        <f t="shared" si="39"/>
        <v>0</v>
      </c>
      <c r="CH751" s="1607"/>
      <c r="CI751" s="1600">
        <f t="shared" si="40"/>
        <v>0</v>
      </c>
      <c r="CJ751" s="1601"/>
      <c r="CK751" s="1606">
        <f t="shared" si="18"/>
        <v>0</v>
      </c>
      <c r="CL751" s="1607"/>
      <c r="CM751" s="1600">
        <f t="shared" si="19"/>
        <v>0</v>
      </c>
      <c r="CN751" s="1601"/>
      <c r="CP751" s="1608">
        <f t="shared" si="20"/>
        <v>0</v>
      </c>
      <c r="CQ751" s="1609"/>
      <c r="CR751" s="1609"/>
      <c r="CS751" s="1609"/>
      <c r="CT751" s="1610"/>
      <c r="CU751" s="1598">
        <f t="shared" si="21"/>
        <v>0</v>
      </c>
      <c r="CV751" s="1598"/>
      <c r="CW751" s="1598"/>
      <c r="CX751" s="1598"/>
      <c r="CY751" s="1598"/>
      <c r="CZ751" s="1598">
        <f t="shared" si="22"/>
        <v>0</v>
      </c>
      <c r="DA751" s="1598"/>
      <c r="DB751" s="1598"/>
      <c r="DC751" s="1598"/>
      <c r="DD751" s="1598"/>
      <c r="DE751" s="1598">
        <f t="shared" si="23"/>
        <v>0</v>
      </c>
      <c r="DF751" s="1598"/>
      <c r="DG751" s="1598"/>
      <c r="DH751" s="1598"/>
      <c r="DI751" s="1598"/>
      <c r="DJ751" s="1598">
        <f t="shared" si="24"/>
        <v>0</v>
      </c>
      <c r="DK751" s="1598"/>
      <c r="DL751" s="1598"/>
      <c r="DM751" s="1598"/>
      <c r="DN751" s="1598"/>
      <c r="DO751" s="1598">
        <f t="shared" si="25"/>
        <v>0</v>
      </c>
      <c r="DP751" s="1598"/>
      <c r="DQ751" s="1598"/>
      <c r="DR751" s="1598"/>
      <c r="DS751" s="1598"/>
      <c r="DT751" s="6"/>
      <c r="DU751" s="1597">
        <f t="shared" si="26"/>
        <v>0</v>
      </c>
      <c r="DV751" s="1597"/>
      <c r="DW751" s="1597"/>
      <c r="DX751" s="1597"/>
      <c r="DY751" s="1597"/>
      <c r="DZ751" s="1597">
        <f t="shared" si="27"/>
        <v>0</v>
      </c>
      <c r="EA751" s="1597"/>
      <c r="EB751" s="1597"/>
      <c r="EC751" s="1597"/>
      <c r="ED751" s="1597"/>
      <c r="EE751" s="1597">
        <f t="shared" si="28"/>
        <v>0</v>
      </c>
      <c r="EF751" s="1597"/>
      <c r="EG751" s="1597"/>
      <c r="EH751" s="1597"/>
      <c r="EI751" s="1597"/>
      <c r="EJ751" s="1597">
        <f t="shared" si="29"/>
        <v>0</v>
      </c>
      <c r="EK751" s="1597"/>
      <c r="EL751" s="1597"/>
      <c r="EM751" s="1597"/>
      <c r="EN751" s="1597"/>
      <c r="EO751" s="1597">
        <f t="shared" si="30"/>
        <v>0</v>
      </c>
      <c r="EP751" s="1597"/>
      <c r="EQ751" s="1597"/>
      <c r="ER751" s="1597"/>
      <c r="ES751" s="1597"/>
      <c r="ET751" s="1597">
        <f t="shared" si="31"/>
        <v>0</v>
      </c>
      <c r="EU751" s="1597"/>
      <c r="EV751" s="1597"/>
      <c r="EW751" s="1597"/>
      <c r="EX751" s="1597"/>
      <c r="EY751"/>
      <c r="EZ751" s="1606" t="str">
        <f t="shared" si="32"/>
        <v/>
      </c>
      <c r="FA751" s="1611"/>
      <c r="FB751" s="1611"/>
      <c r="FC751" s="1611"/>
      <c r="FD751" s="1607"/>
      <c r="FE751" s="1606" t="str">
        <f t="shared" si="33"/>
        <v/>
      </c>
      <c r="FF751" s="1611"/>
      <c r="FG751" s="1611"/>
      <c r="FH751" s="1611"/>
      <c r="FI751" s="1607"/>
      <c r="FJ751" s="1606" t="str">
        <f t="shared" si="34"/>
        <v/>
      </c>
      <c r="FK751" s="1611"/>
      <c r="FL751" s="1611"/>
      <c r="FM751" s="1611"/>
      <c r="FN751" s="1607"/>
      <c r="FO751" s="1606" t="str">
        <f t="shared" si="35"/>
        <v/>
      </c>
      <c r="FP751" s="1611"/>
      <c r="FQ751" s="1611"/>
      <c r="FR751" s="1611"/>
      <c r="FS751" s="1607"/>
      <c r="FT751" s="1606" t="str">
        <f t="shared" si="36"/>
        <v/>
      </c>
      <c r="FU751" s="1611"/>
      <c r="FV751" s="1611"/>
      <c r="FW751" s="1611"/>
      <c r="FX751" s="1607"/>
      <c r="FY751" s="1606" t="str">
        <f t="shared" si="37"/>
        <v/>
      </c>
      <c r="FZ751" s="1611"/>
      <c r="GA751" s="1611"/>
      <c r="GB751" s="1611"/>
      <c r="GC751" s="1607"/>
    </row>
    <row r="752" spans="1:185" ht="12.9" customHeight="1">
      <c r="B752" s="1448"/>
      <c r="C752" s="1449"/>
      <c r="D752" s="1449"/>
      <c r="E752" s="1449"/>
      <c r="F752" s="1450"/>
      <c r="G752" s="1442"/>
      <c r="H752" s="1443"/>
      <c r="I752" s="1443"/>
      <c r="J752" s="1444"/>
      <c r="K752" s="1445"/>
      <c r="L752" s="1446"/>
      <c r="M752" s="1446"/>
      <c r="N752" s="1447"/>
      <c r="O752" s="1476"/>
      <c r="P752" s="1477"/>
      <c r="Q752" s="1477"/>
      <c r="R752" s="1477"/>
      <c r="S752" s="1478"/>
      <c r="T752" s="1476"/>
      <c r="U752" s="1477"/>
      <c r="V752" s="1477"/>
      <c r="W752" s="1478"/>
      <c r="X752" s="1479">
        <f t="shared" si="41"/>
        <v>0</v>
      </c>
      <c r="Y752" s="1480"/>
      <c r="Z752" s="1480"/>
      <c r="AA752" s="1480"/>
      <c r="AB752" s="1481"/>
      <c r="AC752" s="1482"/>
      <c r="AD752" s="1483"/>
      <c r="AE752" s="1483"/>
      <c r="AF752" s="1483"/>
      <c r="AG752" s="1484"/>
      <c r="AH752" s="1500" t="str">
        <f t="shared" si="38"/>
        <v/>
      </c>
      <c r="AI752" s="1501"/>
      <c r="AJ752" s="1502"/>
      <c r="AK752" s="1448" t="s">
        <v>589</v>
      </c>
      <c r="AL752" s="1449"/>
      <c r="AM752" s="1449"/>
      <c r="AN752" s="1449"/>
      <c r="AO752" s="1450"/>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606">
        <f t="shared" si="39"/>
        <v>0</v>
      </c>
      <c r="CH752" s="1607"/>
      <c r="CI752" s="1600">
        <f t="shared" si="40"/>
        <v>0</v>
      </c>
      <c r="CJ752" s="1601"/>
      <c r="CK752" s="1606">
        <f t="shared" si="18"/>
        <v>0</v>
      </c>
      <c r="CL752" s="1607"/>
      <c r="CM752" s="1600">
        <f t="shared" si="19"/>
        <v>0</v>
      </c>
      <c r="CN752" s="1601"/>
      <c r="CO752" s="3"/>
      <c r="CP752" s="1608">
        <f t="shared" si="20"/>
        <v>0</v>
      </c>
      <c r="CQ752" s="1609"/>
      <c r="CR752" s="1609"/>
      <c r="CS752" s="1609"/>
      <c r="CT752" s="1610"/>
      <c r="CU752" s="1598">
        <f t="shared" si="21"/>
        <v>0</v>
      </c>
      <c r="CV752" s="1598"/>
      <c r="CW752" s="1598"/>
      <c r="CX752" s="1598"/>
      <c r="CY752" s="1598"/>
      <c r="CZ752" s="1598">
        <f t="shared" si="22"/>
        <v>0</v>
      </c>
      <c r="DA752" s="1598"/>
      <c r="DB752" s="1598"/>
      <c r="DC752" s="1598"/>
      <c r="DD752" s="1598"/>
      <c r="DE752" s="1598">
        <f t="shared" si="23"/>
        <v>0</v>
      </c>
      <c r="DF752" s="1598"/>
      <c r="DG752" s="1598"/>
      <c r="DH752" s="1598"/>
      <c r="DI752" s="1598"/>
      <c r="DJ752" s="1598">
        <f t="shared" si="24"/>
        <v>0</v>
      </c>
      <c r="DK752" s="1598"/>
      <c r="DL752" s="1598"/>
      <c r="DM752" s="1598"/>
      <c r="DN752" s="1598"/>
      <c r="DO752" s="1598">
        <f t="shared" si="25"/>
        <v>0</v>
      </c>
      <c r="DP752" s="1598"/>
      <c r="DQ752" s="1598"/>
      <c r="DR752" s="1598"/>
      <c r="DS752" s="1598"/>
      <c r="DT752" s="6"/>
      <c r="DU752" s="1597">
        <f t="shared" si="26"/>
        <v>0</v>
      </c>
      <c r="DV752" s="1597"/>
      <c r="DW752" s="1597"/>
      <c r="DX752" s="1597"/>
      <c r="DY752" s="1597"/>
      <c r="DZ752" s="1597">
        <f t="shared" si="27"/>
        <v>0</v>
      </c>
      <c r="EA752" s="1597"/>
      <c r="EB752" s="1597"/>
      <c r="EC752" s="1597"/>
      <c r="ED752" s="1597"/>
      <c r="EE752" s="1597">
        <f t="shared" si="28"/>
        <v>0</v>
      </c>
      <c r="EF752" s="1597"/>
      <c r="EG752" s="1597"/>
      <c r="EH752" s="1597"/>
      <c r="EI752" s="1597"/>
      <c r="EJ752" s="1597">
        <f t="shared" si="29"/>
        <v>0</v>
      </c>
      <c r="EK752" s="1597"/>
      <c r="EL752" s="1597"/>
      <c r="EM752" s="1597"/>
      <c r="EN752" s="1597"/>
      <c r="EO752" s="1597">
        <f t="shared" si="30"/>
        <v>0</v>
      </c>
      <c r="EP752" s="1597"/>
      <c r="EQ752" s="1597"/>
      <c r="ER752" s="1597"/>
      <c r="ES752" s="1597"/>
      <c r="ET752" s="1597">
        <f t="shared" si="31"/>
        <v>0</v>
      </c>
      <c r="EU752" s="1597"/>
      <c r="EV752" s="1597"/>
      <c r="EW752" s="1597"/>
      <c r="EX752" s="1597"/>
      <c r="EZ752" s="1606" t="str">
        <f t="shared" si="32"/>
        <v/>
      </c>
      <c r="FA752" s="1611"/>
      <c r="FB752" s="1611"/>
      <c r="FC752" s="1611"/>
      <c r="FD752" s="1607"/>
      <c r="FE752" s="1606" t="str">
        <f t="shared" si="33"/>
        <v/>
      </c>
      <c r="FF752" s="1611"/>
      <c r="FG752" s="1611"/>
      <c r="FH752" s="1611"/>
      <c r="FI752" s="1607"/>
      <c r="FJ752" s="1606" t="str">
        <f t="shared" si="34"/>
        <v/>
      </c>
      <c r="FK752" s="1611"/>
      <c r="FL752" s="1611"/>
      <c r="FM752" s="1611"/>
      <c r="FN752" s="1607"/>
      <c r="FO752" s="1606" t="str">
        <f t="shared" si="35"/>
        <v/>
      </c>
      <c r="FP752" s="1611"/>
      <c r="FQ752" s="1611"/>
      <c r="FR752" s="1611"/>
      <c r="FS752" s="1607"/>
      <c r="FT752" s="1606" t="str">
        <f t="shared" si="36"/>
        <v/>
      </c>
      <c r="FU752" s="1611"/>
      <c r="FV752" s="1611"/>
      <c r="FW752" s="1611"/>
      <c r="FX752" s="1607"/>
      <c r="FY752" s="1606" t="str">
        <f t="shared" si="37"/>
        <v/>
      </c>
      <c r="FZ752" s="1611"/>
      <c r="GA752" s="1611"/>
      <c r="GB752" s="1611"/>
      <c r="GC752" s="1607"/>
    </row>
    <row r="753" spans="1:185" ht="12.9" customHeight="1">
      <c r="B753" s="1448"/>
      <c r="C753" s="1449"/>
      <c r="D753" s="1449"/>
      <c r="E753" s="1449"/>
      <c r="F753" s="1450"/>
      <c r="G753" s="1442"/>
      <c r="H753" s="1443"/>
      <c r="I753" s="1443"/>
      <c r="J753" s="1444"/>
      <c r="K753" s="1445"/>
      <c r="L753" s="1446"/>
      <c r="M753" s="1446"/>
      <c r="N753" s="1447"/>
      <c r="O753" s="1476"/>
      <c r="P753" s="1477"/>
      <c r="Q753" s="1477"/>
      <c r="R753" s="1477"/>
      <c r="S753" s="1478"/>
      <c r="T753" s="1476"/>
      <c r="U753" s="1477"/>
      <c r="V753" s="1477"/>
      <c r="W753" s="1478"/>
      <c r="X753" s="1479">
        <f t="shared" si="41"/>
        <v>0</v>
      </c>
      <c r="Y753" s="1480"/>
      <c r="Z753" s="1480"/>
      <c r="AA753" s="1480"/>
      <c r="AB753" s="1481"/>
      <c r="AC753" s="1482"/>
      <c r="AD753" s="1483"/>
      <c r="AE753" s="1483"/>
      <c r="AF753" s="1483"/>
      <c r="AG753" s="1484"/>
      <c r="AH753" s="1500" t="str">
        <f t="shared" si="38"/>
        <v/>
      </c>
      <c r="AI753" s="1501"/>
      <c r="AJ753" s="1502"/>
      <c r="AK753" s="1448" t="s">
        <v>589</v>
      </c>
      <c r="AL753" s="1449"/>
      <c r="AM753" s="1449"/>
      <c r="AN753" s="1449"/>
      <c r="AO753" s="1450"/>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606">
        <f t="shared" si="39"/>
        <v>0</v>
      </c>
      <c r="CH753" s="1607"/>
      <c r="CI753" s="1600">
        <f t="shared" si="40"/>
        <v>0</v>
      </c>
      <c r="CJ753" s="1601"/>
      <c r="CK753" s="1606">
        <f t="shared" si="18"/>
        <v>0</v>
      </c>
      <c r="CL753" s="1607"/>
      <c r="CM753" s="1600">
        <f t="shared" si="19"/>
        <v>0</v>
      </c>
      <c r="CN753" s="1601"/>
      <c r="CO753" s="3"/>
      <c r="CP753" s="1608">
        <f t="shared" si="20"/>
        <v>0</v>
      </c>
      <c r="CQ753" s="1609"/>
      <c r="CR753" s="1609"/>
      <c r="CS753" s="1609"/>
      <c r="CT753" s="1610"/>
      <c r="CU753" s="1598">
        <f t="shared" si="21"/>
        <v>0</v>
      </c>
      <c r="CV753" s="1598"/>
      <c r="CW753" s="1598"/>
      <c r="CX753" s="1598"/>
      <c r="CY753" s="1598"/>
      <c r="CZ753" s="1598">
        <f t="shared" si="22"/>
        <v>0</v>
      </c>
      <c r="DA753" s="1598"/>
      <c r="DB753" s="1598"/>
      <c r="DC753" s="1598"/>
      <c r="DD753" s="1598"/>
      <c r="DE753" s="1598">
        <f t="shared" si="23"/>
        <v>0</v>
      </c>
      <c r="DF753" s="1598"/>
      <c r="DG753" s="1598"/>
      <c r="DH753" s="1598"/>
      <c r="DI753" s="1598"/>
      <c r="DJ753" s="1598">
        <f t="shared" si="24"/>
        <v>0</v>
      </c>
      <c r="DK753" s="1598"/>
      <c r="DL753" s="1598"/>
      <c r="DM753" s="1598"/>
      <c r="DN753" s="1598"/>
      <c r="DO753" s="1598">
        <f t="shared" si="25"/>
        <v>0</v>
      </c>
      <c r="DP753" s="1598"/>
      <c r="DQ753" s="1598"/>
      <c r="DR753" s="1598"/>
      <c r="DS753" s="1598"/>
      <c r="DT753" s="6"/>
      <c r="DU753" s="1597">
        <f t="shared" si="26"/>
        <v>0</v>
      </c>
      <c r="DV753" s="1597"/>
      <c r="DW753" s="1597"/>
      <c r="DX753" s="1597"/>
      <c r="DY753" s="1597"/>
      <c r="DZ753" s="1597">
        <f t="shared" si="27"/>
        <v>0</v>
      </c>
      <c r="EA753" s="1597"/>
      <c r="EB753" s="1597"/>
      <c r="EC753" s="1597"/>
      <c r="ED753" s="1597"/>
      <c r="EE753" s="1597">
        <f t="shared" si="28"/>
        <v>0</v>
      </c>
      <c r="EF753" s="1597"/>
      <c r="EG753" s="1597"/>
      <c r="EH753" s="1597"/>
      <c r="EI753" s="1597"/>
      <c r="EJ753" s="1597">
        <f t="shared" si="29"/>
        <v>0</v>
      </c>
      <c r="EK753" s="1597"/>
      <c r="EL753" s="1597"/>
      <c r="EM753" s="1597"/>
      <c r="EN753" s="1597"/>
      <c r="EO753" s="1597">
        <f t="shared" si="30"/>
        <v>0</v>
      </c>
      <c r="EP753" s="1597"/>
      <c r="EQ753" s="1597"/>
      <c r="ER753" s="1597"/>
      <c r="ES753" s="1597"/>
      <c r="ET753" s="1597">
        <f t="shared" si="31"/>
        <v>0</v>
      </c>
      <c r="EU753" s="1597"/>
      <c r="EV753" s="1597"/>
      <c r="EW753" s="1597"/>
      <c r="EX753" s="1597"/>
      <c r="EZ753" s="1606" t="str">
        <f t="shared" si="32"/>
        <v/>
      </c>
      <c r="FA753" s="1611"/>
      <c r="FB753" s="1611"/>
      <c r="FC753" s="1611"/>
      <c r="FD753" s="1607"/>
      <c r="FE753" s="1606" t="str">
        <f t="shared" si="33"/>
        <v/>
      </c>
      <c r="FF753" s="1611"/>
      <c r="FG753" s="1611"/>
      <c r="FH753" s="1611"/>
      <c r="FI753" s="1607"/>
      <c r="FJ753" s="1606" t="str">
        <f t="shared" si="34"/>
        <v/>
      </c>
      <c r="FK753" s="1611"/>
      <c r="FL753" s="1611"/>
      <c r="FM753" s="1611"/>
      <c r="FN753" s="1607"/>
      <c r="FO753" s="1606" t="str">
        <f t="shared" si="35"/>
        <v/>
      </c>
      <c r="FP753" s="1611"/>
      <c r="FQ753" s="1611"/>
      <c r="FR753" s="1611"/>
      <c r="FS753" s="1607"/>
      <c r="FT753" s="1606" t="str">
        <f t="shared" si="36"/>
        <v/>
      </c>
      <c r="FU753" s="1611"/>
      <c r="FV753" s="1611"/>
      <c r="FW753" s="1611"/>
      <c r="FX753" s="1607"/>
      <c r="FY753" s="1606" t="str">
        <f t="shared" si="37"/>
        <v/>
      </c>
      <c r="FZ753" s="1611"/>
      <c r="GA753" s="1611"/>
      <c r="GB753" s="1611"/>
      <c r="GC753" s="1607"/>
    </row>
    <row r="754" spans="1:185" ht="12.9" customHeight="1">
      <c r="B754" s="1448"/>
      <c r="C754" s="1449"/>
      <c r="D754" s="1449"/>
      <c r="E754" s="1449"/>
      <c r="F754" s="1450"/>
      <c r="G754" s="1442"/>
      <c r="H754" s="1443"/>
      <c r="I754" s="1443"/>
      <c r="J754" s="1444"/>
      <c r="K754" s="1445"/>
      <c r="L754" s="1446"/>
      <c r="M754" s="1446"/>
      <c r="N754" s="1447"/>
      <c r="O754" s="1476"/>
      <c r="P754" s="1477"/>
      <c r="Q754" s="1477"/>
      <c r="R754" s="1477"/>
      <c r="S754" s="1478"/>
      <c r="T754" s="1476"/>
      <c r="U754" s="1477"/>
      <c r="V754" s="1477"/>
      <c r="W754" s="1478"/>
      <c r="X754" s="1479">
        <f t="shared" si="41"/>
        <v>0</v>
      </c>
      <c r="Y754" s="1480"/>
      <c r="Z754" s="1480"/>
      <c r="AA754" s="1480"/>
      <c r="AB754" s="1481"/>
      <c r="AC754" s="1482"/>
      <c r="AD754" s="1483"/>
      <c r="AE754" s="1483"/>
      <c r="AF754" s="1483"/>
      <c r="AG754" s="1484"/>
      <c r="AH754" s="1500" t="str">
        <f t="shared" si="38"/>
        <v/>
      </c>
      <c r="AI754" s="1501"/>
      <c r="AJ754" s="1502"/>
      <c r="AK754" s="1448" t="s">
        <v>589</v>
      </c>
      <c r="AL754" s="1449"/>
      <c r="AM754" s="1449"/>
      <c r="AN754" s="1449"/>
      <c r="AO754" s="1450"/>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606">
        <f t="shared" si="39"/>
        <v>0</v>
      </c>
      <c r="CH754" s="1607"/>
      <c r="CI754" s="1600">
        <f t="shared" si="40"/>
        <v>0</v>
      </c>
      <c r="CJ754" s="1601"/>
      <c r="CK754" s="1606">
        <f t="shared" si="18"/>
        <v>0</v>
      </c>
      <c r="CL754" s="1607"/>
      <c r="CM754" s="1600">
        <f t="shared" si="19"/>
        <v>0</v>
      </c>
      <c r="CN754" s="1601"/>
      <c r="CO754" s="3"/>
      <c r="CP754" s="1608">
        <f t="shared" si="20"/>
        <v>0</v>
      </c>
      <c r="CQ754" s="1609"/>
      <c r="CR754" s="1609"/>
      <c r="CS754" s="1609"/>
      <c r="CT754" s="1610"/>
      <c r="CU754" s="1598">
        <f t="shared" si="21"/>
        <v>0</v>
      </c>
      <c r="CV754" s="1598"/>
      <c r="CW754" s="1598"/>
      <c r="CX754" s="1598"/>
      <c r="CY754" s="1598"/>
      <c r="CZ754" s="1598">
        <f t="shared" si="22"/>
        <v>0</v>
      </c>
      <c r="DA754" s="1598"/>
      <c r="DB754" s="1598"/>
      <c r="DC754" s="1598"/>
      <c r="DD754" s="1598"/>
      <c r="DE754" s="1598">
        <f t="shared" si="23"/>
        <v>0</v>
      </c>
      <c r="DF754" s="1598"/>
      <c r="DG754" s="1598"/>
      <c r="DH754" s="1598"/>
      <c r="DI754" s="1598"/>
      <c r="DJ754" s="1598">
        <f t="shared" si="24"/>
        <v>0</v>
      </c>
      <c r="DK754" s="1598"/>
      <c r="DL754" s="1598"/>
      <c r="DM754" s="1598"/>
      <c r="DN754" s="1598"/>
      <c r="DO754" s="1598">
        <f t="shared" si="25"/>
        <v>0</v>
      </c>
      <c r="DP754" s="1598"/>
      <c r="DQ754" s="1598"/>
      <c r="DR754" s="1598"/>
      <c r="DS754" s="1598"/>
      <c r="DT754" s="6"/>
      <c r="DU754" s="1597">
        <f t="shared" si="26"/>
        <v>0</v>
      </c>
      <c r="DV754" s="1597"/>
      <c r="DW754" s="1597"/>
      <c r="DX754" s="1597"/>
      <c r="DY754" s="1597"/>
      <c r="DZ754" s="1597">
        <f t="shared" si="27"/>
        <v>0</v>
      </c>
      <c r="EA754" s="1597"/>
      <c r="EB754" s="1597"/>
      <c r="EC754" s="1597"/>
      <c r="ED754" s="1597"/>
      <c r="EE754" s="1597">
        <f t="shared" si="28"/>
        <v>0</v>
      </c>
      <c r="EF754" s="1597"/>
      <c r="EG754" s="1597"/>
      <c r="EH754" s="1597"/>
      <c r="EI754" s="1597"/>
      <c r="EJ754" s="1597">
        <f t="shared" si="29"/>
        <v>0</v>
      </c>
      <c r="EK754" s="1597"/>
      <c r="EL754" s="1597"/>
      <c r="EM754" s="1597"/>
      <c r="EN754" s="1597"/>
      <c r="EO754" s="1597">
        <f t="shared" si="30"/>
        <v>0</v>
      </c>
      <c r="EP754" s="1597"/>
      <c r="EQ754" s="1597"/>
      <c r="ER754" s="1597"/>
      <c r="ES754" s="1597"/>
      <c r="ET754" s="1597">
        <f t="shared" si="31"/>
        <v>0</v>
      </c>
      <c r="EU754" s="1597"/>
      <c r="EV754" s="1597"/>
      <c r="EW754" s="1597"/>
      <c r="EX754" s="1597"/>
      <c r="EZ754" s="1606" t="str">
        <f t="shared" si="32"/>
        <v/>
      </c>
      <c r="FA754" s="1611"/>
      <c r="FB754" s="1611"/>
      <c r="FC754" s="1611"/>
      <c r="FD754" s="1607"/>
      <c r="FE754" s="1606" t="str">
        <f t="shared" si="33"/>
        <v/>
      </c>
      <c r="FF754" s="1611"/>
      <c r="FG754" s="1611"/>
      <c r="FH754" s="1611"/>
      <c r="FI754" s="1607"/>
      <c r="FJ754" s="1606" t="str">
        <f t="shared" si="34"/>
        <v/>
      </c>
      <c r="FK754" s="1611"/>
      <c r="FL754" s="1611"/>
      <c r="FM754" s="1611"/>
      <c r="FN754" s="1607"/>
      <c r="FO754" s="1606" t="str">
        <f t="shared" si="35"/>
        <v/>
      </c>
      <c r="FP754" s="1611"/>
      <c r="FQ754" s="1611"/>
      <c r="FR754" s="1611"/>
      <c r="FS754" s="1607"/>
      <c r="FT754" s="1606" t="str">
        <f t="shared" si="36"/>
        <v/>
      </c>
      <c r="FU754" s="1611"/>
      <c r="FV754" s="1611"/>
      <c r="FW754" s="1611"/>
      <c r="FX754" s="1607"/>
      <c r="FY754" s="1606" t="str">
        <f t="shared" si="37"/>
        <v/>
      </c>
      <c r="FZ754" s="1611"/>
      <c r="GA754" s="1611"/>
      <c r="GB754" s="1611"/>
      <c r="GC754" s="1607"/>
    </row>
    <row r="755" spans="1:185" ht="12.9" customHeight="1">
      <c r="B755" s="1448"/>
      <c r="C755" s="1449"/>
      <c r="D755" s="1449"/>
      <c r="E755" s="1449"/>
      <c r="F755" s="1450"/>
      <c r="G755" s="1442"/>
      <c r="H755" s="1443"/>
      <c r="I755" s="1443"/>
      <c r="J755" s="1444"/>
      <c r="K755" s="1445"/>
      <c r="L755" s="1446"/>
      <c r="M755" s="1446"/>
      <c r="N755" s="1447"/>
      <c r="O755" s="1476"/>
      <c r="P755" s="1477"/>
      <c r="Q755" s="1477"/>
      <c r="R755" s="1477"/>
      <c r="S755" s="1478"/>
      <c r="T755" s="1476"/>
      <c r="U755" s="1477"/>
      <c r="V755" s="1477"/>
      <c r="W755" s="1478"/>
      <c r="X755" s="1479">
        <f t="shared" si="41"/>
        <v>0</v>
      </c>
      <c r="Y755" s="1480"/>
      <c r="Z755" s="1480"/>
      <c r="AA755" s="1480"/>
      <c r="AB755" s="1481"/>
      <c r="AC755" s="1482"/>
      <c r="AD755" s="1483"/>
      <c r="AE755" s="1483"/>
      <c r="AF755" s="1483"/>
      <c r="AG755" s="1484"/>
      <c r="AH755" s="1500" t="str">
        <f t="shared" si="38"/>
        <v/>
      </c>
      <c r="AI755" s="1501"/>
      <c r="AJ755" s="1502"/>
      <c r="AK755" s="1448" t="s">
        <v>589</v>
      </c>
      <c r="AL755" s="1449"/>
      <c r="AM755" s="1449"/>
      <c r="AN755" s="1449"/>
      <c r="AO755" s="1450"/>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606">
        <f t="shared" si="39"/>
        <v>0</v>
      </c>
      <c r="CH755" s="1607"/>
      <c r="CI755" s="1600">
        <f t="shared" si="40"/>
        <v>0</v>
      </c>
      <c r="CJ755" s="1601"/>
      <c r="CK755" s="1606">
        <f t="shared" si="18"/>
        <v>0</v>
      </c>
      <c r="CL755" s="1607"/>
      <c r="CM755" s="1600">
        <f t="shared" si="19"/>
        <v>0</v>
      </c>
      <c r="CN755" s="1601"/>
      <c r="CO755" s="3"/>
      <c r="CP755" s="1608">
        <f t="shared" si="20"/>
        <v>0</v>
      </c>
      <c r="CQ755" s="1609"/>
      <c r="CR755" s="1609"/>
      <c r="CS755" s="1609"/>
      <c r="CT755" s="1610"/>
      <c r="CU755" s="1598">
        <f t="shared" si="21"/>
        <v>0</v>
      </c>
      <c r="CV755" s="1598"/>
      <c r="CW755" s="1598"/>
      <c r="CX755" s="1598"/>
      <c r="CY755" s="1598"/>
      <c r="CZ755" s="1598">
        <f t="shared" si="22"/>
        <v>0</v>
      </c>
      <c r="DA755" s="1598"/>
      <c r="DB755" s="1598"/>
      <c r="DC755" s="1598"/>
      <c r="DD755" s="1598"/>
      <c r="DE755" s="1598">
        <f t="shared" si="23"/>
        <v>0</v>
      </c>
      <c r="DF755" s="1598"/>
      <c r="DG755" s="1598"/>
      <c r="DH755" s="1598"/>
      <c r="DI755" s="1598"/>
      <c r="DJ755" s="1598">
        <f t="shared" si="24"/>
        <v>0</v>
      </c>
      <c r="DK755" s="1598"/>
      <c r="DL755" s="1598"/>
      <c r="DM755" s="1598"/>
      <c r="DN755" s="1598"/>
      <c r="DO755" s="1598">
        <f t="shared" si="25"/>
        <v>0</v>
      </c>
      <c r="DP755" s="1598"/>
      <c r="DQ755" s="1598"/>
      <c r="DR755" s="1598"/>
      <c r="DS755" s="1598"/>
      <c r="DT755" s="6"/>
      <c r="DU755" s="1597">
        <f t="shared" si="26"/>
        <v>0</v>
      </c>
      <c r="DV755" s="1597"/>
      <c r="DW755" s="1597"/>
      <c r="DX755" s="1597"/>
      <c r="DY755" s="1597"/>
      <c r="DZ755" s="1597">
        <f t="shared" si="27"/>
        <v>0</v>
      </c>
      <c r="EA755" s="1597"/>
      <c r="EB755" s="1597"/>
      <c r="EC755" s="1597"/>
      <c r="ED755" s="1597"/>
      <c r="EE755" s="1597">
        <f t="shared" si="28"/>
        <v>0</v>
      </c>
      <c r="EF755" s="1597"/>
      <c r="EG755" s="1597"/>
      <c r="EH755" s="1597"/>
      <c r="EI755" s="1597"/>
      <c r="EJ755" s="1597">
        <f t="shared" si="29"/>
        <v>0</v>
      </c>
      <c r="EK755" s="1597"/>
      <c r="EL755" s="1597"/>
      <c r="EM755" s="1597"/>
      <c r="EN755" s="1597"/>
      <c r="EO755" s="1597">
        <f t="shared" si="30"/>
        <v>0</v>
      </c>
      <c r="EP755" s="1597"/>
      <c r="EQ755" s="1597"/>
      <c r="ER755" s="1597"/>
      <c r="ES755" s="1597"/>
      <c r="ET755" s="1597">
        <f t="shared" si="31"/>
        <v>0</v>
      </c>
      <c r="EU755" s="1597"/>
      <c r="EV755" s="1597"/>
      <c r="EW755" s="1597"/>
      <c r="EX755" s="1597"/>
      <c r="EZ755" s="1606" t="str">
        <f t="shared" si="32"/>
        <v/>
      </c>
      <c r="FA755" s="1611"/>
      <c r="FB755" s="1611"/>
      <c r="FC755" s="1611"/>
      <c r="FD755" s="1607"/>
      <c r="FE755" s="1606" t="str">
        <f t="shared" si="33"/>
        <v/>
      </c>
      <c r="FF755" s="1611"/>
      <c r="FG755" s="1611"/>
      <c r="FH755" s="1611"/>
      <c r="FI755" s="1607"/>
      <c r="FJ755" s="1606" t="str">
        <f t="shared" si="34"/>
        <v/>
      </c>
      <c r="FK755" s="1611"/>
      <c r="FL755" s="1611"/>
      <c r="FM755" s="1611"/>
      <c r="FN755" s="1607"/>
      <c r="FO755" s="1606" t="str">
        <f t="shared" si="35"/>
        <v/>
      </c>
      <c r="FP755" s="1611"/>
      <c r="FQ755" s="1611"/>
      <c r="FR755" s="1611"/>
      <c r="FS755" s="1607"/>
      <c r="FT755" s="1606" t="str">
        <f t="shared" si="36"/>
        <v/>
      </c>
      <c r="FU755" s="1611"/>
      <c r="FV755" s="1611"/>
      <c r="FW755" s="1611"/>
      <c r="FX755" s="1607"/>
      <c r="FY755" s="1606" t="str">
        <f t="shared" si="37"/>
        <v/>
      </c>
      <c r="FZ755" s="1611"/>
      <c r="GA755" s="1611"/>
      <c r="GB755" s="1611"/>
      <c r="GC755" s="1607"/>
    </row>
    <row r="756" spans="1:185" s="3" customFormat="1" ht="12.9" customHeight="1">
      <c r="A756"/>
      <c r="B756" s="1448"/>
      <c r="C756" s="1449"/>
      <c r="D756" s="1449"/>
      <c r="E756" s="1449"/>
      <c r="F756" s="1450"/>
      <c r="G756" s="1442"/>
      <c r="H756" s="1443"/>
      <c r="I756" s="1443"/>
      <c r="J756" s="1444"/>
      <c r="K756" s="1445"/>
      <c r="L756" s="1446"/>
      <c r="M756" s="1446"/>
      <c r="N756" s="1447"/>
      <c r="O756" s="1476"/>
      <c r="P756" s="1477"/>
      <c r="Q756" s="1477"/>
      <c r="R756" s="1477"/>
      <c r="S756" s="1478"/>
      <c r="T756" s="1476"/>
      <c r="U756" s="1477"/>
      <c r="V756" s="1477"/>
      <c r="W756" s="1478"/>
      <c r="X756" s="1479">
        <f t="shared" si="41"/>
        <v>0</v>
      </c>
      <c r="Y756" s="1480"/>
      <c r="Z756" s="1480"/>
      <c r="AA756" s="1480"/>
      <c r="AB756" s="1481"/>
      <c r="AC756" s="1482"/>
      <c r="AD756" s="1483"/>
      <c r="AE756" s="1483"/>
      <c r="AF756" s="1483"/>
      <c r="AG756" s="1484"/>
      <c r="AH756" s="1500" t="str">
        <f t="shared" si="38"/>
        <v/>
      </c>
      <c r="AI756" s="1501"/>
      <c r="AJ756" s="1502"/>
      <c r="AK756" s="1448" t="s">
        <v>589</v>
      </c>
      <c r="AL756" s="1449"/>
      <c r="AM756" s="1449"/>
      <c r="AN756" s="1449"/>
      <c r="AO756" s="1450"/>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606">
        <f t="shared" si="39"/>
        <v>0</v>
      </c>
      <c r="CH756" s="1607"/>
      <c r="CI756" s="1600">
        <f t="shared" si="40"/>
        <v>0</v>
      </c>
      <c r="CJ756" s="1601"/>
      <c r="CK756" s="1606">
        <f t="shared" si="18"/>
        <v>0</v>
      </c>
      <c r="CL756" s="1607"/>
      <c r="CM756" s="1600">
        <f t="shared" si="19"/>
        <v>0</v>
      </c>
      <c r="CN756" s="1601"/>
      <c r="CP756" s="1608">
        <f t="shared" si="20"/>
        <v>0</v>
      </c>
      <c r="CQ756" s="1609"/>
      <c r="CR756" s="1609"/>
      <c r="CS756" s="1609"/>
      <c r="CT756" s="1610"/>
      <c r="CU756" s="1598">
        <f t="shared" si="21"/>
        <v>0</v>
      </c>
      <c r="CV756" s="1598"/>
      <c r="CW756" s="1598"/>
      <c r="CX756" s="1598"/>
      <c r="CY756" s="1598"/>
      <c r="CZ756" s="1598">
        <f t="shared" si="22"/>
        <v>0</v>
      </c>
      <c r="DA756" s="1598"/>
      <c r="DB756" s="1598"/>
      <c r="DC756" s="1598"/>
      <c r="DD756" s="1598"/>
      <c r="DE756" s="1598">
        <f t="shared" si="23"/>
        <v>0</v>
      </c>
      <c r="DF756" s="1598"/>
      <c r="DG756" s="1598"/>
      <c r="DH756" s="1598"/>
      <c r="DI756" s="1598"/>
      <c r="DJ756" s="1598">
        <f t="shared" si="24"/>
        <v>0</v>
      </c>
      <c r="DK756" s="1598"/>
      <c r="DL756" s="1598"/>
      <c r="DM756" s="1598"/>
      <c r="DN756" s="1598"/>
      <c r="DO756" s="1598">
        <f t="shared" si="25"/>
        <v>0</v>
      </c>
      <c r="DP756" s="1598"/>
      <c r="DQ756" s="1598"/>
      <c r="DR756" s="1598"/>
      <c r="DS756" s="1598"/>
      <c r="DT756" s="6"/>
      <c r="DU756" s="1597">
        <f t="shared" si="26"/>
        <v>0</v>
      </c>
      <c r="DV756" s="1597"/>
      <c r="DW756" s="1597"/>
      <c r="DX756" s="1597"/>
      <c r="DY756" s="1597"/>
      <c r="DZ756" s="1597">
        <f t="shared" si="27"/>
        <v>0</v>
      </c>
      <c r="EA756" s="1597"/>
      <c r="EB756" s="1597"/>
      <c r="EC756" s="1597"/>
      <c r="ED756" s="1597"/>
      <c r="EE756" s="1597">
        <f t="shared" si="28"/>
        <v>0</v>
      </c>
      <c r="EF756" s="1597"/>
      <c r="EG756" s="1597"/>
      <c r="EH756" s="1597"/>
      <c r="EI756" s="1597"/>
      <c r="EJ756" s="1597">
        <f t="shared" si="29"/>
        <v>0</v>
      </c>
      <c r="EK756" s="1597"/>
      <c r="EL756" s="1597"/>
      <c r="EM756" s="1597"/>
      <c r="EN756" s="1597"/>
      <c r="EO756" s="1597">
        <f t="shared" si="30"/>
        <v>0</v>
      </c>
      <c r="EP756" s="1597"/>
      <c r="EQ756" s="1597"/>
      <c r="ER756" s="1597"/>
      <c r="ES756" s="1597"/>
      <c r="ET756" s="1597">
        <f t="shared" si="31"/>
        <v>0</v>
      </c>
      <c r="EU756" s="1597"/>
      <c r="EV756" s="1597"/>
      <c r="EW756" s="1597"/>
      <c r="EX756" s="1597"/>
      <c r="EY756"/>
      <c r="EZ756" s="1606" t="str">
        <f t="shared" si="32"/>
        <v/>
      </c>
      <c r="FA756" s="1611"/>
      <c r="FB756" s="1611"/>
      <c r="FC756" s="1611"/>
      <c r="FD756" s="1607"/>
      <c r="FE756" s="1606" t="str">
        <f t="shared" si="33"/>
        <v/>
      </c>
      <c r="FF756" s="1611"/>
      <c r="FG756" s="1611"/>
      <c r="FH756" s="1611"/>
      <c r="FI756" s="1607"/>
      <c r="FJ756" s="1606" t="str">
        <f t="shared" si="34"/>
        <v/>
      </c>
      <c r="FK756" s="1611"/>
      <c r="FL756" s="1611"/>
      <c r="FM756" s="1611"/>
      <c r="FN756" s="1607"/>
      <c r="FO756" s="1606" t="str">
        <f t="shared" si="35"/>
        <v/>
      </c>
      <c r="FP756" s="1611"/>
      <c r="FQ756" s="1611"/>
      <c r="FR756" s="1611"/>
      <c r="FS756" s="1607"/>
      <c r="FT756" s="1606" t="str">
        <f t="shared" si="36"/>
        <v/>
      </c>
      <c r="FU756" s="1611"/>
      <c r="FV756" s="1611"/>
      <c r="FW756" s="1611"/>
      <c r="FX756" s="1607"/>
      <c r="FY756" s="1606" t="str">
        <f t="shared" si="37"/>
        <v/>
      </c>
      <c r="FZ756" s="1611"/>
      <c r="GA756" s="1611"/>
      <c r="GB756" s="1611"/>
      <c r="GC756" s="1607"/>
    </row>
    <row r="757" spans="1:185" s="3" customFormat="1" ht="12.9" customHeight="1">
      <c r="A757"/>
      <c r="B757" s="1448"/>
      <c r="C757" s="1449"/>
      <c r="D757" s="1449"/>
      <c r="E757" s="1449"/>
      <c r="F757" s="1450"/>
      <c r="G757" s="1442"/>
      <c r="H757" s="1443"/>
      <c r="I757" s="1443"/>
      <c r="J757" s="1444"/>
      <c r="K757" s="1445"/>
      <c r="L757" s="1446"/>
      <c r="M757" s="1446"/>
      <c r="N757" s="1447"/>
      <c r="O757" s="1476"/>
      <c r="P757" s="1477"/>
      <c r="Q757" s="1477"/>
      <c r="R757" s="1477"/>
      <c r="S757" s="1478"/>
      <c r="T757" s="1476"/>
      <c r="U757" s="1477"/>
      <c r="V757" s="1477"/>
      <c r="W757" s="1478"/>
      <c r="X757" s="1479">
        <f t="shared" si="41"/>
        <v>0</v>
      </c>
      <c r="Y757" s="1480"/>
      <c r="Z757" s="1480"/>
      <c r="AA757" s="1480"/>
      <c r="AB757" s="1481"/>
      <c r="AC757" s="1482"/>
      <c r="AD757" s="1483"/>
      <c r="AE757" s="1483"/>
      <c r="AF757" s="1483"/>
      <c r="AG757" s="1484"/>
      <c r="AH757" s="1500" t="str">
        <f t="shared" si="38"/>
        <v/>
      </c>
      <c r="AI757" s="1501"/>
      <c r="AJ757" s="1502"/>
      <c r="AK757" s="1448" t="s">
        <v>589</v>
      </c>
      <c r="AL757" s="1449"/>
      <c r="AM757" s="1449"/>
      <c r="AN757" s="1449"/>
      <c r="AO757" s="1450"/>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606">
        <f t="shared" si="39"/>
        <v>0</v>
      </c>
      <c r="CH757" s="1607"/>
      <c r="CI757" s="1600">
        <f t="shared" si="40"/>
        <v>0</v>
      </c>
      <c r="CJ757" s="1601"/>
      <c r="CK757" s="1606">
        <f t="shared" si="18"/>
        <v>0</v>
      </c>
      <c r="CL757" s="1607"/>
      <c r="CM757" s="1600">
        <f t="shared" si="19"/>
        <v>0</v>
      </c>
      <c r="CN757" s="1601"/>
      <c r="CP757" s="1608">
        <f t="shared" si="20"/>
        <v>0</v>
      </c>
      <c r="CQ757" s="1609"/>
      <c r="CR757" s="1609"/>
      <c r="CS757" s="1609"/>
      <c r="CT757" s="1610"/>
      <c r="CU757" s="1598">
        <f t="shared" si="21"/>
        <v>0</v>
      </c>
      <c r="CV757" s="1598"/>
      <c r="CW757" s="1598"/>
      <c r="CX757" s="1598"/>
      <c r="CY757" s="1598"/>
      <c r="CZ757" s="1598">
        <f t="shared" si="22"/>
        <v>0</v>
      </c>
      <c r="DA757" s="1598"/>
      <c r="DB757" s="1598"/>
      <c r="DC757" s="1598"/>
      <c r="DD757" s="1598"/>
      <c r="DE757" s="1598">
        <f t="shared" si="23"/>
        <v>0</v>
      </c>
      <c r="DF757" s="1598"/>
      <c r="DG757" s="1598"/>
      <c r="DH757" s="1598"/>
      <c r="DI757" s="1598"/>
      <c r="DJ757" s="1598">
        <f t="shared" si="24"/>
        <v>0</v>
      </c>
      <c r="DK757" s="1598"/>
      <c r="DL757" s="1598"/>
      <c r="DM757" s="1598"/>
      <c r="DN757" s="1598"/>
      <c r="DO757" s="1598">
        <f t="shared" si="25"/>
        <v>0</v>
      </c>
      <c r="DP757" s="1598"/>
      <c r="DQ757" s="1598"/>
      <c r="DR757" s="1598"/>
      <c r="DS757" s="1598"/>
      <c r="DT757" s="6"/>
      <c r="DU757" s="1597">
        <f t="shared" si="26"/>
        <v>0</v>
      </c>
      <c r="DV757" s="1597"/>
      <c r="DW757" s="1597"/>
      <c r="DX757" s="1597"/>
      <c r="DY757" s="1597"/>
      <c r="DZ757" s="1597">
        <f t="shared" si="27"/>
        <v>0</v>
      </c>
      <c r="EA757" s="1597"/>
      <c r="EB757" s="1597"/>
      <c r="EC757" s="1597"/>
      <c r="ED757" s="1597"/>
      <c r="EE757" s="1597">
        <f t="shared" si="28"/>
        <v>0</v>
      </c>
      <c r="EF757" s="1597"/>
      <c r="EG757" s="1597"/>
      <c r="EH757" s="1597"/>
      <c r="EI757" s="1597"/>
      <c r="EJ757" s="1597">
        <f t="shared" si="29"/>
        <v>0</v>
      </c>
      <c r="EK757" s="1597"/>
      <c r="EL757" s="1597"/>
      <c r="EM757" s="1597"/>
      <c r="EN757" s="1597"/>
      <c r="EO757" s="1597">
        <f t="shared" si="30"/>
        <v>0</v>
      </c>
      <c r="EP757" s="1597"/>
      <c r="EQ757" s="1597"/>
      <c r="ER757" s="1597"/>
      <c r="ES757" s="1597"/>
      <c r="ET757" s="1597">
        <f t="shared" si="31"/>
        <v>0</v>
      </c>
      <c r="EU757" s="1597"/>
      <c r="EV757" s="1597"/>
      <c r="EW757" s="1597"/>
      <c r="EX757" s="1597"/>
      <c r="EY757"/>
      <c r="EZ757" s="1606" t="str">
        <f t="shared" si="32"/>
        <v/>
      </c>
      <c r="FA757" s="1611"/>
      <c r="FB757" s="1611"/>
      <c r="FC757" s="1611"/>
      <c r="FD757" s="1607"/>
      <c r="FE757" s="1606" t="str">
        <f t="shared" si="33"/>
        <v/>
      </c>
      <c r="FF757" s="1611"/>
      <c r="FG757" s="1611"/>
      <c r="FH757" s="1611"/>
      <c r="FI757" s="1607"/>
      <c r="FJ757" s="1606" t="str">
        <f t="shared" si="34"/>
        <v/>
      </c>
      <c r="FK757" s="1611"/>
      <c r="FL757" s="1611"/>
      <c r="FM757" s="1611"/>
      <c r="FN757" s="1607"/>
      <c r="FO757" s="1606" t="str">
        <f t="shared" si="35"/>
        <v/>
      </c>
      <c r="FP757" s="1611"/>
      <c r="FQ757" s="1611"/>
      <c r="FR757" s="1611"/>
      <c r="FS757" s="1607"/>
      <c r="FT757" s="1606" t="str">
        <f t="shared" si="36"/>
        <v/>
      </c>
      <c r="FU757" s="1611"/>
      <c r="FV757" s="1611"/>
      <c r="FW757" s="1611"/>
      <c r="FX757" s="1607"/>
      <c r="FY757" s="1606" t="str">
        <f t="shared" si="37"/>
        <v/>
      </c>
      <c r="FZ757" s="1611"/>
      <c r="GA757" s="1611"/>
      <c r="GB757" s="1611"/>
      <c r="GC757" s="1607"/>
    </row>
    <row r="758" spans="1:185" s="3" customFormat="1" ht="12.9" customHeight="1">
      <c r="A758"/>
      <c r="B758" s="1448"/>
      <c r="C758" s="1449"/>
      <c r="D758" s="1449"/>
      <c r="E758" s="1449"/>
      <c r="F758" s="1450"/>
      <c r="G758" s="1442"/>
      <c r="H758" s="1443"/>
      <c r="I758" s="1443"/>
      <c r="J758" s="1444"/>
      <c r="K758" s="1445"/>
      <c r="L758" s="1446"/>
      <c r="M758" s="1446"/>
      <c r="N758" s="1447"/>
      <c r="O758" s="1476"/>
      <c r="P758" s="1477"/>
      <c r="Q758" s="1477"/>
      <c r="R758" s="1477"/>
      <c r="S758" s="1478"/>
      <c r="T758" s="1476"/>
      <c r="U758" s="1477"/>
      <c r="V758" s="1477"/>
      <c r="W758" s="1478"/>
      <c r="X758" s="1479">
        <f t="shared" si="41"/>
        <v>0</v>
      </c>
      <c r="Y758" s="1480"/>
      <c r="Z758" s="1480"/>
      <c r="AA758" s="1480"/>
      <c r="AB758" s="1481"/>
      <c r="AC758" s="1482"/>
      <c r="AD758" s="1483"/>
      <c r="AE758" s="1483"/>
      <c r="AF758" s="1483"/>
      <c r="AG758" s="1484"/>
      <c r="AH758" s="1500" t="str">
        <f t="shared" si="38"/>
        <v/>
      </c>
      <c r="AI758" s="1501"/>
      <c r="AJ758" s="1502"/>
      <c r="AK758" s="1448" t="s">
        <v>589</v>
      </c>
      <c r="AL758" s="1449"/>
      <c r="AM758" s="1449"/>
      <c r="AN758" s="1449"/>
      <c r="AO758" s="1450"/>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606">
        <f t="shared" si="39"/>
        <v>0</v>
      </c>
      <c r="CH758" s="1607"/>
      <c r="CI758" s="1600">
        <f t="shared" si="40"/>
        <v>0</v>
      </c>
      <c r="CJ758" s="1601"/>
      <c r="CK758" s="1606">
        <f t="shared" si="18"/>
        <v>0</v>
      </c>
      <c r="CL758" s="1607"/>
      <c r="CM758" s="1600">
        <f t="shared" si="19"/>
        <v>0</v>
      </c>
      <c r="CN758" s="1601"/>
      <c r="CP758" s="1608">
        <f t="shared" si="20"/>
        <v>0</v>
      </c>
      <c r="CQ758" s="1609"/>
      <c r="CR758" s="1609"/>
      <c r="CS758" s="1609"/>
      <c r="CT758" s="1610"/>
      <c r="CU758" s="1598">
        <f t="shared" si="21"/>
        <v>0</v>
      </c>
      <c r="CV758" s="1598"/>
      <c r="CW758" s="1598"/>
      <c r="CX758" s="1598"/>
      <c r="CY758" s="1598"/>
      <c r="CZ758" s="1598">
        <f t="shared" si="22"/>
        <v>0</v>
      </c>
      <c r="DA758" s="1598"/>
      <c r="DB758" s="1598"/>
      <c r="DC758" s="1598"/>
      <c r="DD758" s="1598"/>
      <c r="DE758" s="1598">
        <f t="shared" si="23"/>
        <v>0</v>
      </c>
      <c r="DF758" s="1598"/>
      <c r="DG758" s="1598"/>
      <c r="DH758" s="1598"/>
      <c r="DI758" s="1598"/>
      <c r="DJ758" s="1598">
        <f t="shared" si="24"/>
        <v>0</v>
      </c>
      <c r="DK758" s="1598"/>
      <c r="DL758" s="1598"/>
      <c r="DM758" s="1598"/>
      <c r="DN758" s="1598"/>
      <c r="DO758" s="1598">
        <f t="shared" si="25"/>
        <v>0</v>
      </c>
      <c r="DP758" s="1598"/>
      <c r="DQ758" s="1598"/>
      <c r="DR758" s="1598"/>
      <c r="DS758" s="1598"/>
      <c r="DT758" s="6"/>
      <c r="DU758" s="1597">
        <f t="shared" si="26"/>
        <v>0</v>
      </c>
      <c r="DV758" s="1597"/>
      <c r="DW758" s="1597"/>
      <c r="DX758" s="1597"/>
      <c r="DY758" s="1597"/>
      <c r="DZ758" s="1597">
        <f t="shared" si="27"/>
        <v>0</v>
      </c>
      <c r="EA758" s="1597"/>
      <c r="EB758" s="1597"/>
      <c r="EC758" s="1597"/>
      <c r="ED758" s="1597"/>
      <c r="EE758" s="1597">
        <f t="shared" si="28"/>
        <v>0</v>
      </c>
      <c r="EF758" s="1597"/>
      <c r="EG758" s="1597"/>
      <c r="EH758" s="1597"/>
      <c r="EI758" s="1597"/>
      <c r="EJ758" s="1597">
        <f t="shared" si="29"/>
        <v>0</v>
      </c>
      <c r="EK758" s="1597"/>
      <c r="EL758" s="1597"/>
      <c r="EM758" s="1597"/>
      <c r="EN758" s="1597"/>
      <c r="EO758" s="1597">
        <f t="shared" si="30"/>
        <v>0</v>
      </c>
      <c r="EP758" s="1597"/>
      <c r="EQ758" s="1597"/>
      <c r="ER758" s="1597"/>
      <c r="ES758" s="1597"/>
      <c r="ET758" s="1597">
        <f t="shared" si="31"/>
        <v>0</v>
      </c>
      <c r="EU758" s="1597"/>
      <c r="EV758" s="1597"/>
      <c r="EW758" s="1597"/>
      <c r="EX758" s="1597"/>
      <c r="EY758"/>
      <c r="EZ758" s="1606" t="str">
        <f t="shared" si="32"/>
        <v/>
      </c>
      <c r="FA758" s="1611"/>
      <c r="FB758" s="1611"/>
      <c r="FC758" s="1611"/>
      <c r="FD758" s="1607"/>
      <c r="FE758" s="1606" t="str">
        <f t="shared" si="33"/>
        <v/>
      </c>
      <c r="FF758" s="1611"/>
      <c r="FG758" s="1611"/>
      <c r="FH758" s="1611"/>
      <c r="FI758" s="1607"/>
      <c r="FJ758" s="1606" t="str">
        <f t="shared" si="34"/>
        <v/>
      </c>
      <c r="FK758" s="1611"/>
      <c r="FL758" s="1611"/>
      <c r="FM758" s="1611"/>
      <c r="FN758" s="1607"/>
      <c r="FO758" s="1606" t="str">
        <f t="shared" si="35"/>
        <v/>
      </c>
      <c r="FP758" s="1611"/>
      <c r="FQ758" s="1611"/>
      <c r="FR758" s="1611"/>
      <c r="FS758" s="1607"/>
      <c r="FT758" s="1606" t="str">
        <f t="shared" si="36"/>
        <v/>
      </c>
      <c r="FU758" s="1611"/>
      <c r="FV758" s="1611"/>
      <c r="FW758" s="1611"/>
      <c r="FX758" s="1607"/>
      <c r="FY758" s="1606" t="str">
        <f t="shared" si="37"/>
        <v/>
      </c>
      <c r="FZ758" s="1611"/>
      <c r="GA758" s="1611"/>
      <c r="GB758" s="1611"/>
      <c r="GC758" s="1607"/>
    </row>
    <row r="759" spans="1:185" s="3" customFormat="1" ht="12.9" customHeight="1">
      <c r="A759"/>
      <c r="B759" s="1448"/>
      <c r="C759" s="1449"/>
      <c r="D759" s="1449"/>
      <c r="E759" s="1449"/>
      <c r="F759" s="1450"/>
      <c r="G759" s="1442"/>
      <c r="H759" s="1443"/>
      <c r="I759" s="1443"/>
      <c r="J759" s="1444"/>
      <c r="K759" s="1445"/>
      <c r="L759" s="1446"/>
      <c r="M759" s="1446"/>
      <c r="N759" s="1447"/>
      <c r="O759" s="1476"/>
      <c r="P759" s="1477"/>
      <c r="Q759" s="1477"/>
      <c r="R759" s="1477"/>
      <c r="S759" s="1478"/>
      <c r="T759" s="1476"/>
      <c r="U759" s="1477"/>
      <c r="V759" s="1477"/>
      <c r="W759" s="1478"/>
      <c r="X759" s="1479">
        <f t="shared" si="41"/>
        <v>0</v>
      </c>
      <c r="Y759" s="1480"/>
      <c r="Z759" s="1480"/>
      <c r="AA759" s="1480"/>
      <c r="AB759" s="1481"/>
      <c r="AC759" s="1482"/>
      <c r="AD759" s="1483"/>
      <c r="AE759" s="1483"/>
      <c r="AF759" s="1483"/>
      <c r="AG759" s="1484"/>
      <c r="AH759" s="1500" t="str">
        <f t="shared" si="38"/>
        <v/>
      </c>
      <c r="AI759" s="1501"/>
      <c r="AJ759" s="1502"/>
      <c r="AK759" s="1448" t="s">
        <v>589</v>
      </c>
      <c r="AL759" s="1449"/>
      <c r="AM759" s="1449"/>
      <c r="AN759" s="1449"/>
      <c r="AO759" s="1450"/>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606">
        <f t="shared" si="39"/>
        <v>0</v>
      </c>
      <c r="CH759" s="1607"/>
      <c r="CI759" s="1600">
        <f t="shared" si="40"/>
        <v>0</v>
      </c>
      <c r="CJ759" s="1601"/>
      <c r="CK759" s="1606">
        <f t="shared" si="18"/>
        <v>0</v>
      </c>
      <c r="CL759" s="1607"/>
      <c r="CM759" s="1600">
        <f t="shared" si="19"/>
        <v>0</v>
      </c>
      <c r="CN759" s="1601"/>
      <c r="CP759" s="1608">
        <f t="shared" si="20"/>
        <v>0</v>
      </c>
      <c r="CQ759" s="1609"/>
      <c r="CR759" s="1609"/>
      <c r="CS759" s="1609"/>
      <c r="CT759" s="1610"/>
      <c r="CU759" s="1598">
        <f t="shared" si="21"/>
        <v>0</v>
      </c>
      <c r="CV759" s="1598"/>
      <c r="CW759" s="1598"/>
      <c r="CX759" s="1598"/>
      <c r="CY759" s="1598"/>
      <c r="CZ759" s="1598">
        <f t="shared" si="22"/>
        <v>0</v>
      </c>
      <c r="DA759" s="1598"/>
      <c r="DB759" s="1598"/>
      <c r="DC759" s="1598"/>
      <c r="DD759" s="1598"/>
      <c r="DE759" s="1598">
        <f t="shared" si="23"/>
        <v>0</v>
      </c>
      <c r="DF759" s="1598"/>
      <c r="DG759" s="1598"/>
      <c r="DH759" s="1598"/>
      <c r="DI759" s="1598"/>
      <c r="DJ759" s="1598">
        <f t="shared" si="24"/>
        <v>0</v>
      </c>
      <c r="DK759" s="1598"/>
      <c r="DL759" s="1598"/>
      <c r="DM759" s="1598"/>
      <c r="DN759" s="1598"/>
      <c r="DO759" s="1598">
        <f t="shared" si="25"/>
        <v>0</v>
      </c>
      <c r="DP759" s="1598"/>
      <c r="DQ759" s="1598"/>
      <c r="DR759" s="1598"/>
      <c r="DS759" s="1598"/>
      <c r="DT759" s="6"/>
      <c r="DU759" s="1597">
        <f t="shared" si="26"/>
        <v>0</v>
      </c>
      <c r="DV759" s="1597"/>
      <c r="DW759" s="1597"/>
      <c r="DX759" s="1597"/>
      <c r="DY759" s="1597"/>
      <c r="DZ759" s="1597">
        <f t="shared" si="27"/>
        <v>0</v>
      </c>
      <c r="EA759" s="1597"/>
      <c r="EB759" s="1597"/>
      <c r="EC759" s="1597"/>
      <c r="ED759" s="1597"/>
      <c r="EE759" s="1597">
        <f t="shared" si="28"/>
        <v>0</v>
      </c>
      <c r="EF759" s="1597"/>
      <c r="EG759" s="1597"/>
      <c r="EH759" s="1597"/>
      <c r="EI759" s="1597"/>
      <c r="EJ759" s="1597">
        <f t="shared" si="29"/>
        <v>0</v>
      </c>
      <c r="EK759" s="1597"/>
      <c r="EL759" s="1597"/>
      <c r="EM759" s="1597"/>
      <c r="EN759" s="1597"/>
      <c r="EO759" s="1597">
        <f t="shared" si="30"/>
        <v>0</v>
      </c>
      <c r="EP759" s="1597"/>
      <c r="EQ759" s="1597"/>
      <c r="ER759" s="1597"/>
      <c r="ES759" s="1597"/>
      <c r="ET759" s="1597">
        <f t="shared" si="31"/>
        <v>0</v>
      </c>
      <c r="EU759" s="1597"/>
      <c r="EV759" s="1597"/>
      <c r="EW759" s="1597"/>
      <c r="EX759" s="1597"/>
      <c r="EY759"/>
      <c r="EZ759" s="1606" t="str">
        <f t="shared" si="32"/>
        <v/>
      </c>
      <c r="FA759" s="1611"/>
      <c r="FB759" s="1611"/>
      <c r="FC759" s="1611"/>
      <c r="FD759" s="1607"/>
      <c r="FE759" s="1606" t="str">
        <f t="shared" si="33"/>
        <v/>
      </c>
      <c r="FF759" s="1611"/>
      <c r="FG759" s="1611"/>
      <c r="FH759" s="1611"/>
      <c r="FI759" s="1607"/>
      <c r="FJ759" s="1606" t="str">
        <f t="shared" si="34"/>
        <v/>
      </c>
      <c r="FK759" s="1611"/>
      <c r="FL759" s="1611"/>
      <c r="FM759" s="1611"/>
      <c r="FN759" s="1607"/>
      <c r="FO759" s="1606" t="str">
        <f t="shared" si="35"/>
        <v/>
      </c>
      <c r="FP759" s="1611"/>
      <c r="FQ759" s="1611"/>
      <c r="FR759" s="1611"/>
      <c r="FS759" s="1607"/>
      <c r="FT759" s="1606" t="str">
        <f t="shared" si="36"/>
        <v/>
      </c>
      <c r="FU759" s="1611"/>
      <c r="FV759" s="1611"/>
      <c r="FW759" s="1611"/>
      <c r="FX759" s="1607"/>
      <c r="FY759" s="1606" t="str">
        <f t="shared" si="37"/>
        <v/>
      </c>
      <c r="FZ759" s="1611"/>
      <c r="GA759" s="1611"/>
      <c r="GB759" s="1611"/>
      <c r="GC759" s="1607"/>
    </row>
    <row r="760" spans="1:185" s="3" customFormat="1" ht="12.9" customHeight="1">
      <c r="A760"/>
      <c r="B760" s="1448"/>
      <c r="C760" s="1449"/>
      <c r="D760" s="1449"/>
      <c r="E760" s="1449"/>
      <c r="F760" s="1450"/>
      <c r="G760" s="1442"/>
      <c r="H760" s="1443"/>
      <c r="I760" s="1443"/>
      <c r="J760" s="1444"/>
      <c r="K760" s="1445"/>
      <c r="L760" s="1446"/>
      <c r="M760" s="1446"/>
      <c r="N760" s="1447"/>
      <c r="O760" s="1476"/>
      <c r="P760" s="1477"/>
      <c r="Q760" s="1477"/>
      <c r="R760" s="1477"/>
      <c r="S760" s="1478"/>
      <c r="T760" s="1476"/>
      <c r="U760" s="1477"/>
      <c r="V760" s="1477"/>
      <c r="W760" s="1478"/>
      <c r="X760" s="1479">
        <f>O760+T760</f>
        <v>0</v>
      </c>
      <c r="Y760" s="1480"/>
      <c r="Z760" s="1480"/>
      <c r="AA760" s="1480"/>
      <c r="AB760" s="1481"/>
      <c r="AC760" s="1482"/>
      <c r="AD760" s="1483"/>
      <c r="AE760" s="1483"/>
      <c r="AF760" s="1483"/>
      <c r="AG760" s="1484"/>
      <c r="AH760" s="1500" t="str">
        <f t="shared" si="38"/>
        <v/>
      </c>
      <c r="AI760" s="1501"/>
      <c r="AJ760" s="1502"/>
      <c r="AK760" s="1448" t="s">
        <v>589</v>
      </c>
      <c r="AL760" s="1449"/>
      <c r="AM760" s="1449"/>
      <c r="AN760" s="1449"/>
      <c r="AO760" s="1450"/>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606">
        <f t="shared" si="39"/>
        <v>0</v>
      </c>
      <c r="CH760" s="1607"/>
      <c r="CI760" s="1600">
        <f t="shared" si="40"/>
        <v>0</v>
      </c>
      <c r="CJ760" s="1601"/>
      <c r="CK760" s="1606">
        <f t="shared" si="18"/>
        <v>0</v>
      </c>
      <c r="CL760" s="1607"/>
      <c r="CM760" s="1600">
        <f t="shared" si="19"/>
        <v>0</v>
      </c>
      <c r="CN760" s="1601"/>
      <c r="CP760" s="1608">
        <f t="shared" si="20"/>
        <v>0</v>
      </c>
      <c r="CQ760" s="1609"/>
      <c r="CR760" s="1609"/>
      <c r="CS760" s="1609"/>
      <c r="CT760" s="1610"/>
      <c r="CU760" s="1598">
        <f t="shared" si="21"/>
        <v>0</v>
      </c>
      <c r="CV760" s="1598"/>
      <c r="CW760" s="1598"/>
      <c r="CX760" s="1598"/>
      <c r="CY760" s="1598"/>
      <c r="CZ760" s="1598">
        <f t="shared" si="22"/>
        <v>0</v>
      </c>
      <c r="DA760" s="1598"/>
      <c r="DB760" s="1598"/>
      <c r="DC760" s="1598"/>
      <c r="DD760" s="1598"/>
      <c r="DE760" s="1598">
        <f t="shared" si="23"/>
        <v>0</v>
      </c>
      <c r="DF760" s="1598"/>
      <c r="DG760" s="1598"/>
      <c r="DH760" s="1598"/>
      <c r="DI760" s="1598"/>
      <c r="DJ760" s="1598">
        <f t="shared" si="24"/>
        <v>0</v>
      </c>
      <c r="DK760" s="1598"/>
      <c r="DL760" s="1598"/>
      <c r="DM760" s="1598"/>
      <c r="DN760" s="1598"/>
      <c r="DO760" s="1598">
        <f t="shared" si="25"/>
        <v>0</v>
      </c>
      <c r="DP760" s="1598"/>
      <c r="DQ760" s="1598"/>
      <c r="DR760" s="1598"/>
      <c r="DS760" s="1598"/>
      <c r="DT760" s="6"/>
      <c r="DU760" s="1597">
        <f t="shared" si="26"/>
        <v>0</v>
      </c>
      <c r="DV760" s="1597"/>
      <c r="DW760" s="1597"/>
      <c r="DX760" s="1597"/>
      <c r="DY760" s="1597"/>
      <c r="DZ760" s="1597">
        <f t="shared" si="27"/>
        <v>0</v>
      </c>
      <c r="EA760" s="1597"/>
      <c r="EB760" s="1597"/>
      <c r="EC760" s="1597"/>
      <c r="ED760" s="1597"/>
      <c r="EE760" s="1597">
        <f t="shared" si="28"/>
        <v>0</v>
      </c>
      <c r="EF760" s="1597"/>
      <c r="EG760" s="1597"/>
      <c r="EH760" s="1597"/>
      <c r="EI760" s="1597"/>
      <c r="EJ760" s="1597">
        <f t="shared" si="29"/>
        <v>0</v>
      </c>
      <c r="EK760" s="1597"/>
      <c r="EL760" s="1597"/>
      <c r="EM760" s="1597"/>
      <c r="EN760" s="1597"/>
      <c r="EO760" s="1597">
        <f t="shared" si="30"/>
        <v>0</v>
      </c>
      <c r="EP760" s="1597"/>
      <c r="EQ760" s="1597"/>
      <c r="ER760" s="1597"/>
      <c r="ES760" s="1597"/>
      <c r="ET760" s="1597">
        <f t="shared" si="31"/>
        <v>0</v>
      </c>
      <c r="EU760" s="1597"/>
      <c r="EV760" s="1597"/>
      <c r="EW760" s="1597"/>
      <c r="EX760" s="1597"/>
      <c r="EY760"/>
      <c r="EZ760" s="1606" t="str">
        <f t="shared" si="32"/>
        <v/>
      </c>
      <c r="FA760" s="1611"/>
      <c r="FB760" s="1611"/>
      <c r="FC760" s="1611"/>
      <c r="FD760" s="1607"/>
      <c r="FE760" s="1606" t="str">
        <f t="shared" si="33"/>
        <v/>
      </c>
      <c r="FF760" s="1611"/>
      <c r="FG760" s="1611"/>
      <c r="FH760" s="1611"/>
      <c r="FI760" s="1607"/>
      <c r="FJ760" s="1606" t="str">
        <f t="shared" si="34"/>
        <v/>
      </c>
      <c r="FK760" s="1611"/>
      <c r="FL760" s="1611"/>
      <c r="FM760" s="1611"/>
      <c r="FN760" s="1607"/>
      <c r="FO760" s="1606" t="str">
        <f t="shared" si="35"/>
        <v/>
      </c>
      <c r="FP760" s="1611"/>
      <c r="FQ760" s="1611"/>
      <c r="FR760" s="1611"/>
      <c r="FS760" s="1607"/>
      <c r="FT760" s="1606" t="str">
        <f t="shared" si="36"/>
        <v/>
      </c>
      <c r="FU760" s="1611"/>
      <c r="FV760" s="1611"/>
      <c r="FW760" s="1611"/>
      <c r="FX760" s="1607"/>
      <c r="FY760" s="1606" t="str">
        <f t="shared" si="37"/>
        <v/>
      </c>
      <c r="FZ760" s="1611"/>
      <c r="GA760" s="1611"/>
      <c r="GB760" s="1611"/>
      <c r="GC760" s="1607"/>
    </row>
    <row r="761" spans="1:185" s="3" customFormat="1" ht="12.9" customHeight="1">
      <c r="A761"/>
      <c r="B761" s="1586" t="s">
        <v>125</v>
      </c>
      <c r="C761" s="1587"/>
      <c r="D761" s="1587"/>
      <c r="E761" s="1587"/>
      <c r="F761" s="1588"/>
      <c r="G761" s="1743">
        <f>SUM(G726:G760)</f>
        <v>112</v>
      </c>
      <c r="H761" s="1744"/>
      <c r="I761" s="1744"/>
      <c r="J761" s="1745"/>
      <c r="K761" s="893" t="s">
        <v>124</v>
      </c>
      <c r="L761" s="5"/>
      <c r="M761" s="5"/>
      <c r="N761" s="46"/>
      <c r="O761" s="1479">
        <f>SUMPRODUCT(G726:G760,O726:O760)</f>
        <v>292453</v>
      </c>
      <c r="P761" s="1480"/>
      <c r="Q761" s="1480"/>
      <c r="R761" s="1480"/>
      <c r="S761" s="1481"/>
      <c r="T761"/>
      <c r="U761"/>
      <c r="V761"/>
      <c r="W761"/>
      <c r="X761" s="895" t="s">
        <v>898</v>
      </c>
      <c r="Y761" s="894"/>
      <c r="Z761" s="894"/>
      <c r="AA761" s="894"/>
      <c r="AB761" s="896"/>
      <c r="AC761" s="1736">
        <f>BH761</f>
        <v>0.57589285714285721</v>
      </c>
      <c r="AD761" s="1737"/>
      <c r="AE761" s="1737"/>
      <c r="AF761" s="1737"/>
      <c r="AG761" s="1738"/>
      <c r="AH761" s="1736">
        <f>IFERROR(BU761,"")</f>
        <v>0.55568991027650172</v>
      </c>
      <c r="AI761" s="1737"/>
      <c r="AJ761" s="1738"/>
      <c r="AK761"/>
      <c r="AL761"/>
      <c r="AM761"/>
      <c r="AN761"/>
      <c r="AO761"/>
      <c r="AP761" s="205"/>
      <c r="AQ761" s="205"/>
      <c r="AR761" s="205"/>
      <c r="AS761" s="205"/>
      <c r="AT761"/>
      <c r="AU761"/>
      <c r="AV761"/>
      <c r="AW761"/>
      <c r="AX761"/>
      <c r="AY761"/>
      <c r="AZ761" s="34"/>
      <c r="BA761" s="34"/>
      <c r="BB761" s="34"/>
      <c r="BC761" s="34"/>
      <c r="BE761" s="290" t="s">
        <v>897</v>
      </c>
      <c r="BF761" s="299">
        <f>SUM(BF726:BF760)</f>
        <v>112</v>
      </c>
      <c r="BG761" s="300">
        <f>SUM(BG726:BG760)</f>
        <v>1</v>
      </c>
      <c r="BH761" s="300">
        <f>SUM(BH726:BH760)</f>
        <v>0.57589285714285721</v>
      </c>
      <c r="BI761"/>
      <c r="BJ761"/>
      <c r="BK761"/>
      <c r="BL761"/>
      <c r="BO761"/>
      <c r="BP761"/>
      <c r="BQ761"/>
      <c r="BR761"/>
      <c r="BS761" s="850">
        <f>SUM(BS726:BS760)</f>
        <v>112</v>
      </c>
      <c r="BT761" s="300">
        <f>SUM(BT726:BT760)</f>
        <v>1</v>
      </c>
      <c r="BU761" s="300">
        <f>SUM(BU726:BU760)</f>
        <v>0.55568991027650172</v>
      </c>
      <c r="CI761" s="1606">
        <f>SUM(CI726:CJ760)</f>
        <v>13</v>
      </c>
      <c r="CJ761" s="1607"/>
      <c r="CM761" s="1606">
        <f>SUM(CM726:CN760)</f>
        <v>13</v>
      </c>
      <c r="CN761" s="1607"/>
      <c r="CP761" s="1606">
        <f>SUM(CP726:CT760)</f>
        <v>0</v>
      </c>
      <c r="CQ761" s="1611"/>
      <c r="CR761" s="1611"/>
      <c r="CS761" s="1611"/>
      <c r="CT761" s="1607"/>
      <c r="CU761" s="1605">
        <f>SUM(CU726:CY760)</f>
        <v>15</v>
      </c>
      <c r="CV761" s="1605"/>
      <c r="CW761" s="1605"/>
      <c r="CX761" s="1605"/>
      <c r="CY761" s="1605"/>
      <c r="CZ761" s="1605">
        <f>SUM(CZ726:DD760)</f>
        <v>44</v>
      </c>
      <c r="DA761" s="1605"/>
      <c r="DB761" s="1605"/>
      <c r="DC761" s="1605"/>
      <c r="DD761" s="1605"/>
      <c r="DE761" s="1605">
        <f>SUM(DE726:DI760)</f>
        <v>53</v>
      </c>
      <c r="DF761" s="1605"/>
      <c r="DG761" s="1605"/>
      <c r="DH761" s="1605"/>
      <c r="DI761" s="1605"/>
      <c r="DJ761" s="1605">
        <f>SUM(DJ726:DN760)</f>
        <v>0</v>
      </c>
      <c r="DK761" s="1605"/>
      <c r="DL761" s="1605"/>
      <c r="DM761" s="1605"/>
      <c r="DN761" s="1605"/>
      <c r="DO761" s="1605">
        <f>SUM(DO726:DS760)</f>
        <v>0</v>
      </c>
      <c r="DP761" s="1605"/>
      <c r="DQ761" s="1605"/>
      <c r="DR761" s="1605"/>
      <c r="DS761" s="1605"/>
      <c r="DT761" s="350"/>
      <c r="DU761" s="1605">
        <f>SUM(DU726:DY760)</f>
        <v>0</v>
      </c>
      <c r="DV761" s="1605"/>
      <c r="DW761" s="1605"/>
      <c r="DX761" s="1605"/>
      <c r="DY761" s="1605"/>
      <c r="DZ761" s="1605">
        <f>SUM(DZ726:ED760)</f>
        <v>3</v>
      </c>
      <c r="EA761" s="1605"/>
      <c r="EB761" s="1605"/>
      <c r="EC761" s="1605"/>
      <c r="ED761" s="1605"/>
      <c r="EE761" s="1605">
        <f>SUM(EE726:EI760)</f>
        <v>4</v>
      </c>
      <c r="EF761" s="1605"/>
      <c r="EG761" s="1605"/>
      <c r="EH761" s="1605"/>
      <c r="EI761" s="1605"/>
      <c r="EJ761" s="1605">
        <f>SUM(EJ726:EN760)</f>
        <v>6</v>
      </c>
      <c r="EK761" s="1605"/>
      <c r="EL761" s="1605"/>
      <c r="EM761" s="1605"/>
      <c r="EN761" s="1605"/>
      <c r="EO761" s="1605">
        <f>SUM(EO726:ES760)</f>
        <v>0</v>
      </c>
      <c r="EP761" s="1605"/>
      <c r="EQ761" s="1605"/>
      <c r="ER761" s="1605"/>
      <c r="ES761" s="1605"/>
      <c r="ET761" s="1605">
        <f>SUM(ET726:EX760)</f>
        <v>0</v>
      </c>
      <c r="EU761" s="1605"/>
      <c r="EV761" s="1605"/>
      <c r="EW761" s="1605"/>
      <c r="EX761" s="1605"/>
      <c r="EY761"/>
      <c r="EZ761" s="1605">
        <f>SUM(EZ726:FD760)</f>
        <v>0</v>
      </c>
      <c r="FA761" s="1605"/>
      <c r="FB761" s="1605"/>
      <c r="FC761" s="1605"/>
      <c r="FD761" s="1605"/>
      <c r="FE761" s="1605">
        <f>SUM(FE726:FI760)</f>
        <v>7664</v>
      </c>
      <c r="FF761" s="1605"/>
      <c r="FG761" s="1605"/>
      <c r="FH761" s="1605"/>
      <c r="FI761" s="1605"/>
      <c r="FJ761" s="1605">
        <f>SUM(FJ726:FN760)</f>
        <v>8873</v>
      </c>
      <c r="FK761" s="1605"/>
      <c r="FL761" s="1605"/>
      <c r="FM761" s="1605"/>
      <c r="FN761" s="1605"/>
      <c r="FO761" s="1605">
        <f>SUM(FO726:FS760)</f>
        <v>10318</v>
      </c>
      <c r="FP761" s="1605"/>
      <c r="FQ761" s="1605"/>
      <c r="FR761" s="1605"/>
      <c r="FS761" s="1605"/>
      <c r="FT761" s="1605">
        <f>SUM(FT726:FX760)</f>
        <v>0</v>
      </c>
      <c r="FU761" s="1605"/>
      <c r="FV761" s="1605"/>
      <c r="FW761" s="1605"/>
      <c r="FX761" s="1605"/>
      <c r="FY761" s="1605">
        <f>SUM(FY726:GC760)</f>
        <v>0</v>
      </c>
      <c r="FZ761" s="1605"/>
      <c r="GA761" s="1605"/>
      <c r="GB761" s="1605"/>
      <c r="GC761" s="1605"/>
    </row>
    <row r="762" spans="1:185" s="3" customFormat="1" ht="12.9" customHeight="1">
      <c r="A762"/>
      <c r="B762" s="1804" t="s">
        <v>1859</v>
      </c>
      <c r="C762" s="1804"/>
      <c r="D762" s="1804"/>
      <c r="E762" s="1804"/>
      <c r="F762" s="1804"/>
      <c r="G762" s="1804"/>
      <c r="H762" s="1804"/>
      <c r="I762" s="1804"/>
      <c r="J762" s="1804"/>
      <c r="K762" s="1804"/>
      <c r="L762" s="1804"/>
      <c r="M762" s="1804"/>
      <c r="N762" s="1804"/>
      <c r="O762" s="1804"/>
      <c r="P762" s="1804"/>
      <c r="Q762" s="1804"/>
      <c r="R762" s="1804"/>
      <c r="S762" s="1804"/>
      <c r="T762" s="1804"/>
      <c r="U762" s="1804"/>
      <c r="V762" s="1804"/>
      <c r="W762" s="1804"/>
      <c r="X762" s="1804"/>
      <c r="Y762" s="1804"/>
      <c r="Z762" s="1804"/>
      <c r="AA762" s="1804"/>
      <c r="AB762" s="1804"/>
      <c r="AC762" s="1804"/>
      <c r="AD762" s="1804"/>
      <c r="AE762" s="1804"/>
      <c r="AF762" s="1804"/>
      <c r="AG762" s="1804"/>
      <c r="AH762" s="1804"/>
      <c r="AI762"/>
      <c r="AJ762"/>
      <c r="AK762"/>
      <c r="AT762"/>
      <c r="AU762"/>
      <c r="AV762"/>
      <c r="AW762"/>
      <c r="AX762"/>
      <c r="AY762"/>
      <c r="CD762"/>
      <c r="DN762" s="56" t="s">
        <v>1827</v>
      </c>
      <c r="DO762" s="1606">
        <f>CP761+CU761+CZ761+DE761+DJ761+DO761</f>
        <v>112</v>
      </c>
      <c r="DP762" s="1611"/>
      <c r="DQ762" s="1611"/>
      <c r="DR762" s="1611"/>
      <c r="DS762" s="1607"/>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 customHeight="1">
      <c r="B763" s="1804"/>
      <c r="C763" s="1804"/>
      <c r="D763" s="1804"/>
      <c r="E763" s="1804"/>
      <c r="F763" s="1804"/>
      <c r="G763" s="1804"/>
      <c r="H763" s="1804"/>
      <c r="I763" s="1804"/>
      <c r="J763" s="1804"/>
      <c r="K763" s="1804"/>
      <c r="L763" s="1804"/>
      <c r="M763" s="1804"/>
      <c r="N763" s="1804"/>
      <c r="O763" s="1804"/>
      <c r="P763" s="1804"/>
      <c r="Q763" s="1804"/>
      <c r="R763" s="1804"/>
      <c r="S763" s="1804"/>
      <c r="T763" s="1804"/>
      <c r="U763" s="1804"/>
      <c r="V763" s="1804"/>
      <c r="W763" s="1804"/>
      <c r="X763" s="1804"/>
      <c r="Y763" s="1804"/>
      <c r="Z763" s="1804"/>
      <c r="AA763" s="1804"/>
      <c r="AB763" s="1804"/>
      <c r="AC763" s="1804"/>
      <c r="AD763" s="1804"/>
      <c r="AE763" s="1804"/>
      <c r="AF763" s="1804"/>
      <c r="AG763" s="1804"/>
      <c r="AH763" s="1804"/>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15</v>
      </c>
      <c r="CZ763" s="3"/>
      <c r="DA763" s="3"/>
      <c r="DB763" s="3"/>
      <c r="DC763" s="3"/>
      <c r="DD763" s="852">
        <f>CZ761*2</f>
        <v>88</v>
      </c>
      <c r="DE763" s="3"/>
      <c r="DF763" s="3"/>
      <c r="DG763" s="3"/>
      <c r="DH763" s="3"/>
      <c r="DI763" s="852">
        <f>DE761*3</f>
        <v>159</v>
      </c>
      <c r="DJ763" s="3"/>
      <c r="DK763" s="3"/>
      <c r="DL763" s="3"/>
      <c r="DM763" s="3"/>
      <c r="DN763" s="852">
        <f>DJ761*4</f>
        <v>0</v>
      </c>
      <c r="DO763" s="3"/>
      <c r="DP763" s="3"/>
      <c r="DQ763" s="3"/>
      <c r="DR763" s="3"/>
      <c r="DS763" s="852">
        <f>DO761*5</f>
        <v>0</v>
      </c>
      <c r="DU763" s="852">
        <f>CT763+CY763+DD763+DI763+DN763+DS763</f>
        <v>262</v>
      </c>
      <c r="DV763" s="57" t="s">
        <v>1829</v>
      </c>
      <c r="DW763" s="3"/>
      <c r="DX763" s="3"/>
      <c r="DY763" s="3"/>
      <c r="DZ763" s="3"/>
      <c r="EA763" s="3"/>
      <c r="EB763" s="3"/>
      <c r="EC763" s="3"/>
      <c r="ED763" s="3"/>
      <c r="EE763" s="3"/>
      <c r="EF763" s="3"/>
      <c r="EG763" s="3"/>
      <c r="EH763" s="3"/>
    </row>
    <row r="764" spans="1:185" ht="12.9" customHeight="1">
      <c r="A764" s="3"/>
      <c r="B764" s="3"/>
      <c r="C764" s="118" t="s">
        <v>1857</v>
      </c>
      <c r="D764" s="1022"/>
      <c r="E764" s="1022"/>
      <c r="F764" s="1022"/>
      <c r="G764" s="1023"/>
      <c r="H764" s="1023"/>
      <c r="I764" s="1023"/>
      <c r="J764" s="1023"/>
      <c r="K764" s="1022"/>
      <c r="L764" s="1022"/>
      <c r="M764" s="1022"/>
      <c r="N764" s="1022"/>
      <c r="O764" s="1605">
        <f>DU763</f>
        <v>262</v>
      </c>
      <c r="P764" s="1605"/>
      <c r="Q764" s="1605"/>
      <c r="R764" s="1605"/>
      <c r="S764" s="960"/>
      <c r="T764" s="960"/>
      <c r="U764" s="118" t="s">
        <v>1858</v>
      </c>
      <c r="V764" s="1022"/>
      <c r="W764" s="1022"/>
      <c r="X764" s="1022"/>
      <c r="Y764" s="1023"/>
      <c r="Z764" s="1023"/>
      <c r="AA764" s="1023"/>
      <c r="AB764" s="1023"/>
      <c r="AC764" s="1022"/>
      <c r="AD764" s="1022"/>
      <c r="AE764" s="1022"/>
      <c r="AF764" s="1022"/>
      <c r="AG764" s="1732"/>
      <c r="AH764" s="1732"/>
      <c r="AI764" s="1732"/>
      <c r="AJ764" s="1732"/>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 customHeight="1">
      <c r="B765" s="57"/>
      <c r="C765" s="1441" t="str">
        <f>IF(G761&lt;&gt;AG449,"! Total Low-Income Units in the Unit Mix Table above does not match the number of Total Low-Income Units on row #"&amp;TEXT(ROW(D449),"#"),"")</f>
        <v/>
      </c>
      <c r="D765" s="1441"/>
      <c r="E765" s="1441"/>
      <c r="F765" s="1441"/>
      <c r="G765" s="1441"/>
      <c r="H765" s="1441"/>
      <c r="I765" s="1441"/>
      <c r="J765" s="1441"/>
      <c r="K765" s="1441"/>
      <c r="L765" s="1441"/>
      <c r="M765" s="1441"/>
      <c r="N765" s="1441"/>
      <c r="O765" s="1441"/>
      <c r="P765" s="1441"/>
      <c r="Q765" s="1441"/>
      <c r="R765" s="1441"/>
      <c r="S765" s="1441"/>
      <c r="T765" s="1441"/>
      <c r="U765" s="1441"/>
      <c r="V765" s="1441"/>
      <c r="W765" s="1441"/>
      <c r="X765" s="1441"/>
      <c r="Y765" s="1441"/>
      <c r="Z765" s="1441"/>
      <c r="AA765" s="1441"/>
      <c r="AB765" s="1441"/>
      <c r="AC765" s="1441"/>
      <c r="AD765" s="1441"/>
      <c r="AE765" s="1441"/>
      <c r="AF765" s="1441"/>
      <c r="AG765" s="1441"/>
      <c r="AH765" s="1441"/>
      <c r="AI765" s="1441"/>
      <c r="AJ765" s="1441"/>
      <c r="AK765" s="1441"/>
      <c r="AL765" s="1441"/>
      <c r="AM765" s="1441"/>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 customHeight="1">
      <c r="B766" s="57"/>
      <c r="C766" s="1441"/>
      <c r="D766" s="1441"/>
      <c r="E766" s="1441"/>
      <c r="F766" s="1441"/>
      <c r="G766" s="1441"/>
      <c r="H766" s="1441"/>
      <c r="I766" s="1441"/>
      <c r="J766" s="1441"/>
      <c r="K766" s="1441"/>
      <c r="L766" s="1441"/>
      <c r="M766" s="1441"/>
      <c r="N766" s="1441"/>
      <c r="O766" s="1441"/>
      <c r="P766" s="1441"/>
      <c r="Q766" s="1441"/>
      <c r="R766" s="1441"/>
      <c r="S766" s="1441"/>
      <c r="T766" s="1441"/>
      <c r="U766" s="1441"/>
      <c r="V766" s="1441"/>
      <c r="W766" s="1441"/>
      <c r="X766" s="1441"/>
      <c r="Y766" s="1441"/>
      <c r="Z766" s="1441"/>
      <c r="AA766" s="1441"/>
      <c r="AB766" s="1441"/>
      <c r="AC766" s="1441"/>
      <c r="AD766" s="1441"/>
      <c r="AE766" s="1441"/>
      <c r="AF766" s="1441"/>
      <c r="AG766" s="1441"/>
      <c r="AH766" s="1441"/>
      <c r="AI766" s="1441"/>
      <c r="AJ766" s="1441"/>
      <c r="AK766" s="1441"/>
      <c r="AL766" s="1441"/>
      <c r="AM766" s="1441"/>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46" t="s">
        <v>589</v>
      </c>
      <c r="AE767" s="1746"/>
      <c r="AF767" s="1746"/>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 customHeight="1">
      <c r="A769" s="2" t="s">
        <v>574</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 customHeight="1">
      <c r="A771" s="3"/>
      <c r="B771" s="1022"/>
      <c r="C771" s="1359" t="s">
        <v>2037</v>
      </c>
      <c r="D771" s="1359"/>
      <c r="E771" s="1359"/>
      <c r="F771" s="1359"/>
      <c r="G771" s="1359"/>
      <c r="H771" s="1359"/>
      <c r="I771" s="1359"/>
      <c r="J771" s="1359"/>
      <c r="K771" s="1359"/>
      <c r="L771" s="1359"/>
      <c r="M771" s="1359"/>
      <c r="N771" s="1359"/>
      <c r="O771" s="1359"/>
      <c r="P771" s="1359"/>
      <c r="Q771" s="1359"/>
      <c r="R771" s="1359"/>
      <c r="S771" s="1359"/>
      <c r="T771" s="1359"/>
      <c r="U771" s="1359"/>
      <c r="V771" s="1359"/>
      <c r="W771" s="1359"/>
      <c r="X771" s="1359"/>
      <c r="Y771" s="1359"/>
      <c r="Z771" s="1359"/>
      <c r="AA771" s="1359"/>
      <c r="AB771" s="1359"/>
      <c r="AC771" s="1359"/>
      <c r="AD771" s="1359"/>
      <c r="AE771" s="1359"/>
      <c r="AF771" s="1359"/>
      <c r="AG771" s="1359"/>
      <c r="AH771" s="1359"/>
      <c r="AI771" s="1359"/>
      <c r="AJ771" s="1359"/>
      <c r="AK771" s="1359"/>
      <c r="AL771" s="1359"/>
      <c r="AM771" s="1359"/>
      <c r="AN771" s="1359"/>
      <c r="AO771" s="1359"/>
      <c r="AP771" s="1359"/>
      <c r="AQ771" s="1359"/>
      <c r="AR771" s="1359"/>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 customHeight="1">
      <c r="A772" s="3"/>
      <c r="B772" s="1022"/>
      <c r="C772" s="1359"/>
      <c r="D772" s="1359"/>
      <c r="E772" s="1359"/>
      <c r="F772" s="1359"/>
      <c r="G772" s="1359"/>
      <c r="H772" s="1359"/>
      <c r="I772" s="1359"/>
      <c r="J772" s="1359"/>
      <c r="K772" s="1359"/>
      <c r="L772" s="1359"/>
      <c r="M772" s="1359"/>
      <c r="N772" s="1359"/>
      <c r="O772" s="1359"/>
      <c r="P772" s="1359"/>
      <c r="Q772" s="1359"/>
      <c r="R772" s="1359"/>
      <c r="S772" s="1359"/>
      <c r="T772" s="1359"/>
      <c r="U772" s="1359"/>
      <c r="V772" s="1359"/>
      <c r="W772" s="1359"/>
      <c r="X772" s="1359"/>
      <c r="Y772" s="1359"/>
      <c r="Z772" s="1359"/>
      <c r="AA772" s="1359"/>
      <c r="AB772" s="1359"/>
      <c r="AC772" s="1359"/>
      <c r="AD772" s="1359"/>
      <c r="AE772" s="1359"/>
      <c r="AF772" s="1359"/>
      <c r="AG772" s="1359"/>
      <c r="AH772" s="1359"/>
      <c r="AI772" s="1359"/>
      <c r="AJ772" s="1359"/>
      <c r="AK772" s="1359"/>
      <c r="AL772" s="1359"/>
      <c r="AM772" s="1359"/>
      <c r="AN772" s="1359"/>
      <c r="AO772" s="1359"/>
      <c r="AP772" s="1359"/>
      <c r="AQ772" s="1359"/>
      <c r="AR772" s="1359"/>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 customHeight="1">
      <c r="A773" s="3"/>
      <c r="B773" s="1022"/>
      <c r="C773" s="1359"/>
      <c r="D773" s="1359"/>
      <c r="E773" s="1359"/>
      <c r="F773" s="1359"/>
      <c r="G773" s="1359"/>
      <c r="H773" s="1359"/>
      <c r="I773" s="1359"/>
      <c r="J773" s="1359"/>
      <c r="K773" s="1359"/>
      <c r="L773" s="1359"/>
      <c r="M773" s="1359"/>
      <c r="N773" s="1359"/>
      <c r="O773" s="1359"/>
      <c r="P773" s="1359"/>
      <c r="Q773" s="1359"/>
      <c r="R773" s="1359"/>
      <c r="S773" s="1359"/>
      <c r="T773" s="1359"/>
      <c r="U773" s="1359"/>
      <c r="V773" s="1359"/>
      <c r="W773" s="1359"/>
      <c r="X773" s="1359"/>
      <c r="Y773" s="1359"/>
      <c r="Z773" s="1359"/>
      <c r="AA773" s="1359"/>
      <c r="AB773" s="1359"/>
      <c r="AC773" s="1359"/>
      <c r="AD773" s="1359"/>
      <c r="AE773" s="1359"/>
      <c r="AF773" s="1359"/>
      <c r="AG773" s="1359"/>
      <c r="AH773" s="1359"/>
      <c r="AI773" s="1359"/>
      <c r="AJ773" s="1359"/>
      <c r="AK773" s="1359"/>
      <c r="AL773" s="1359"/>
      <c r="AM773" s="1359"/>
      <c r="AN773" s="1359"/>
      <c r="AO773" s="1359"/>
      <c r="AP773" s="1359"/>
      <c r="AQ773" s="1359"/>
      <c r="AR773" s="1359"/>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 customHeight="1">
      <c r="A774" s="3"/>
      <c r="B774" s="1022"/>
      <c r="C774" s="1359" t="s">
        <v>2038</v>
      </c>
      <c r="D774" s="1359"/>
      <c r="E774" s="1359"/>
      <c r="F774" s="1359"/>
      <c r="G774" s="1359"/>
      <c r="H774" s="1359"/>
      <c r="I774" s="1359"/>
      <c r="J774" s="1359"/>
      <c r="K774" s="1359"/>
      <c r="L774" s="1359"/>
      <c r="M774" s="1359"/>
      <c r="N774" s="1359"/>
      <c r="O774" s="1359"/>
      <c r="P774" s="1359"/>
      <c r="Q774" s="1359"/>
      <c r="R774" s="1359"/>
      <c r="S774" s="1359"/>
      <c r="T774" s="1359"/>
      <c r="U774" s="1359"/>
      <c r="V774" s="1359"/>
      <c r="W774" s="1359"/>
      <c r="X774" s="1359"/>
      <c r="Y774" s="1359"/>
      <c r="Z774" s="1359"/>
      <c r="AA774" s="1359"/>
      <c r="AB774" s="1359"/>
      <c r="AC774" s="1359"/>
      <c r="AD774" s="1359"/>
      <c r="AE774" s="1359"/>
      <c r="AF774" s="1359"/>
      <c r="AG774" s="1359"/>
      <c r="AH774" s="1359"/>
      <c r="AI774" s="1359"/>
      <c r="AJ774" s="1359"/>
      <c r="AK774" s="1359"/>
      <c r="AL774" s="1359"/>
      <c r="AM774" s="1359"/>
      <c r="AN774" s="1359"/>
      <c r="AO774" s="1359"/>
      <c r="AP774" s="1359"/>
      <c r="AQ774" s="1359"/>
      <c r="AR774" s="1359"/>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 customHeight="1">
      <c r="A775" s="3"/>
      <c r="B775" s="1022"/>
      <c r="C775" s="1359"/>
      <c r="D775" s="1359"/>
      <c r="E775" s="1359"/>
      <c r="F775" s="1359"/>
      <c r="G775" s="1359"/>
      <c r="H775" s="1359"/>
      <c r="I775" s="1359"/>
      <c r="J775" s="1359"/>
      <c r="K775" s="1359"/>
      <c r="L775" s="1359"/>
      <c r="M775" s="1359"/>
      <c r="N775" s="1359"/>
      <c r="O775" s="1359"/>
      <c r="P775" s="1359"/>
      <c r="Q775" s="1359"/>
      <c r="R775" s="1359"/>
      <c r="S775" s="1359"/>
      <c r="T775" s="1359"/>
      <c r="U775" s="1359"/>
      <c r="V775" s="1359"/>
      <c r="W775" s="1359"/>
      <c r="X775" s="1359"/>
      <c r="Y775" s="1359"/>
      <c r="Z775" s="1359"/>
      <c r="AA775" s="1359"/>
      <c r="AB775" s="1359"/>
      <c r="AC775" s="1359"/>
      <c r="AD775" s="1359"/>
      <c r="AE775" s="1359"/>
      <c r="AF775" s="1359"/>
      <c r="AG775" s="1359"/>
      <c r="AH775" s="1359"/>
      <c r="AI775" s="1359"/>
      <c r="AJ775" s="1359"/>
      <c r="AK775" s="1359"/>
      <c r="AL775" s="1359"/>
      <c r="AM775" s="1359"/>
      <c r="AN775" s="1359"/>
      <c r="AO775" s="1359"/>
      <c r="AP775" s="1359"/>
      <c r="AQ775" s="1359"/>
      <c r="AR775" s="1359"/>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 customHeight="1">
      <c r="A776" s="3"/>
      <c r="B776" s="1022"/>
      <c r="C776" s="1359"/>
      <c r="D776" s="1359"/>
      <c r="E776" s="1359"/>
      <c r="F776" s="1359"/>
      <c r="G776" s="1359"/>
      <c r="H776" s="1359"/>
      <c r="I776" s="1359"/>
      <c r="J776" s="1359"/>
      <c r="K776" s="1359"/>
      <c r="L776" s="1359"/>
      <c r="M776" s="1359"/>
      <c r="N776" s="1359"/>
      <c r="O776" s="1359"/>
      <c r="P776" s="1359"/>
      <c r="Q776" s="1359"/>
      <c r="R776" s="1359"/>
      <c r="S776" s="1359"/>
      <c r="T776" s="1359"/>
      <c r="U776" s="1359"/>
      <c r="V776" s="1359"/>
      <c r="W776" s="1359"/>
      <c r="X776" s="1359"/>
      <c r="Y776" s="1359"/>
      <c r="Z776" s="1359"/>
      <c r="AA776" s="1359"/>
      <c r="AB776" s="1359"/>
      <c r="AC776" s="1359"/>
      <c r="AD776" s="1359"/>
      <c r="AE776" s="1359"/>
      <c r="AF776" s="1359"/>
      <c r="AG776" s="1359"/>
      <c r="AH776" s="1359"/>
      <c r="AI776" s="1359"/>
      <c r="AJ776" s="1359"/>
      <c r="AK776" s="1359"/>
      <c r="AL776" s="1359"/>
      <c r="AM776" s="1359"/>
      <c r="AN776" s="1359"/>
      <c r="AO776" s="1359"/>
      <c r="AP776" s="1359"/>
      <c r="AQ776" s="1359"/>
      <c r="AR776" s="1359"/>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 customHeight="1">
      <c r="J777" s="1491" t="s">
        <v>388</v>
      </c>
      <c r="K777" s="1492"/>
      <c r="L777" s="1492"/>
      <c r="M777" s="1492"/>
      <c r="N777" s="1493"/>
      <c r="O777" s="1816" t="s">
        <v>285</v>
      </c>
      <c r="P777" s="1816"/>
      <c r="Q777" s="1816"/>
      <c r="R777" s="1816"/>
      <c r="S777" s="1816"/>
      <c r="T777" s="1817" t="s">
        <v>1665</v>
      </c>
      <c r="U777" s="1818"/>
      <c r="V777" s="1818"/>
      <c r="W777" s="1819"/>
      <c r="X777" s="1491" t="s">
        <v>445</v>
      </c>
      <c r="Y777" s="1492"/>
      <c r="Z777" s="1492"/>
      <c r="AA777" s="1492"/>
      <c r="AB777" s="1493"/>
      <c r="AC777" s="1491" t="s">
        <v>286</v>
      </c>
      <c r="AD777" s="1492"/>
      <c r="AE777" s="1492"/>
      <c r="AF777" s="1492"/>
      <c r="AG777" s="1493"/>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 customHeight="1">
      <c r="J778" s="1494"/>
      <c r="K778" s="1495"/>
      <c r="L778" s="1495"/>
      <c r="M778" s="1495"/>
      <c r="N778" s="1496"/>
      <c r="O778" s="1816"/>
      <c r="P778" s="1816"/>
      <c r="Q778" s="1816"/>
      <c r="R778" s="1816"/>
      <c r="S778" s="1816"/>
      <c r="T778" s="1820"/>
      <c r="U778" s="1821"/>
      <c r="V778" s="1821"/>
      <c r="W778" s="1822"/>
      <c r="X778" s="1494"/>
      <c r="Y778" s="1495"/>
      <c r="Z778" s="1495"/>
      <c r="AA778" s="1495"/>
      <c r="AB778" s="1496"/>
      <c r="AC778" s="1494"/>
      <c r="AD778" s="1495"/>
      <c r="AE778" s="1495"/>
      <c r="AF778" s="1495"/>
      <c r="AG778" s="1496"/>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 customHeight="1">
      <c r="J779" s="1494"/>
      <c r="K779" s="1495"/>
      <c r="L779" s="1495"/>
      <c r="M779" s="1495"/>
      <c r="N779" s="1496"/>
      <c r="O779" s="1816"/>
      <c r="P779" s="1816"/>
      <c r="Q779" s="1816"/>
      <c r="R779" s="1816"/>
      <c r="S779" s="1816"/>
      <c r="T779" s="1820"/>
      <c r="U779" s="1821"/>
      <c r="V779" s="1821"/>
      <c r="W779" s="1822"/>
      <c r="X779" s="1494"/>
      <c r="Y779" s="1495"/>
      <c r="Z779" s="1495"/>
      <c r="AA779" s="1495"/>
      <c r="AB779" s="1496"/>
      <c r="AC779" s="1494"/>
      <c r="AD779" s="1495"/>
      <c r="AE779" s="1495"/>
      <c r="AF779" s="1495"/>
      <c r="AG779" s="1496"/>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 customHeight="1">
      <c r="J780" s="1497"/>
      <c r="K780" s="1498"/>
      <c r="L780" s="1498"/>
      <c r="M780" s="1498"/>
      <c r="N780" s="1499"/>
      <c r="O780" s="1816"/>
      <c r="P780" s="1816"/>
      <c r="Q780" s="1816"/>
      <c r="R780" s="1816"/>
      <c r="S780" s="1816"/>
      <c r="T780" s="1823"/>
      <c r="U780" s="1824"/>
      <c r="V780" s="1824"/>
      <c r="W780" s="1825"/>
      <c r="X780" s="1497"/>
      <c r="Y780" s="1498"/>
      <c r="Z780" s="1498"/>
      <c r="AA780" s="1498"/>
      <c r="AB780" s="1499"/>
      <c r="AC780" s="1497"/>
      <c r="AD780" s="1498"/>
      <c r="AE780" s="1498"/>
      <c r="AF780" s="1498"/>
      <c r="AG780" s="1499"/>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 customHeight="1">
      <c r="J781" s="1448" t="s">
        <v>164</v>
      </c>
      <c r="K781" s="1449"/>
      <c r="L781" s="1449"/>
      <c r="M781" s="1449"/>
      <c r="N781" s="1450"/>
      <c r="O781" s="1733">
        <v>1</v>
      </c>
      <c r="P781" s="1733"/>
      <c r="Q781" s="1733"/>
      <c r="R781" s="1733"/>
      <c r="S781" s="1733"/>
      <c r="T781" s="1445">
        <v>1031</v>
      </c>
      <c r="U781" s="1446"/>
      <c r="V781" s="1446"/>
      <c r="W781" s="1447"/>
      <c r="X781" s="1476"/>
      <c r="Y781" s="1477"/>
      <c r="Z781" s="1477"/>
      <c r="AA781" s="1477"/>
      <c r="AB781" s="1478"/>
      <c r="AC781" s="1479">
        <f>X781*O781</f>
        <v>0</v>
      </c>
      <c r="AD781" s="1480"/>
      <c r="AE781" s="1480"/>
      <c r="AF781" s="1480"/>
      <c r="AG781" s="1481"/>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608">
        <f>IF(J781="SRO/Studio",O781,0)</f>
        <v>0</v>
      </c>
      <c r="CQ781" s="1609"/>
      <c r="CR781" s="1609"/>
      <c r="CS781" s="1609"/>
      <c r="CT781" s="1610"/>
      <c r="CU781" s="1598">
        <f>IF(J781="1 Bedroom",O781,0)</f>
        <v>0</v>
      </c>
      <c r="CV781" s="1598"/>
      <c r="CW781" s="1598"/>
      <c r="CX781" s="1598"/>
      <c r="CY781" s="1598"/>
      <c r="CZ781" s="1598">
        <f>IF(J781="2 Bedrooms",O781,0)</f>
        <v>0</v>
      </c>
      <c r="DA781" s="1598"/>
      <c r="DB781" s="1598"/>
      <c r="DC781" s="1598"/>
      <c r="DD781" s="1598"/>
      <c r="DE781" s="1598">
        <f>IF(J781="3 Bedrooms",O781,0)</f>
        <v>1</v>
      </c>
      <c r="DF781" s="1598"/>
      <c r="DG781" s="1598"/>
      <c r="DH781" s="1598"/>
      <c r="DI781" s="1598"/>
      <c r="DJ781" s="1598">
        <f>IF(J781="4 Bedrooms",O781,0)</f>
        <v>0</v>
      </c>
      <c r="DK781" s="1598"/>
      <c r="DL781" s="1598"/>
      <c r="DM781" s="1598"/>
      <c r="DN781" s="1598"/>
      <c r="DO781" s="1598">
        <f>IF(J781="5 Bedrooms",O781,0)</f>
        <v>0</v>
      </c>
      <c r="DP781" s="1598"/>
      <c r="DQ781" s="1598"/>
      <c r="DR781" s="1598"/>
      <c r="DS781" s="1598"/>
      <c r="DT781" s="6"/>
      <c r="DU781" s="3"/>
      <c r="DV781" s="3"/>
    </row>
    <row r="782" spans="1:159" ht="12.9" customHeight="1">
      <c r="J782" s="1448"/>
      <c r="K782" s="1449"/>
      <c r="L782" s="1449"/>
      <c r="M782" s="1449"/>
      <c r="N782" s="1450"/>
      <c r="O782" s="1733"/>
      <c r="P782" s="1733"/>
      <c r="Q782" s="1733"/>
      <c r="R782" s="1733"/>
      <c r="S782" s="1733"/>
      <c r="T782" s="1445"/>
      <c r="U782" s="1446"/>
      <c r="V782" s="1446"/>
      <c r="W782" s="1447"/>
      <c r="X782" s="1476"/>
      <c r="Y782" s="1477"/>
      <c r="Z782" s="1477"/>
      <c r="AA782" s="1477"/>
      <c r="AB782" s="1478"/>
      <c r="AC782" s="1479">
        <f>X782*O782</f>
        <v>0</v>
      </c>
      <c r="AD782" s="1480"/>
      <c r="AE782" s="1480"/>
      <c r="AF782" s="1480"/>
      <c r="AG782" s="1481"/>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608">
        <f>IF(J782="SRO/Studio",O782,0)</f>
        <v>0</v>
      </c>
      <c r="CQ782" s="1609"/>
      <c r="CR782" s="1609"/>
      <c r="CS782" s="1609"/>
      <c r="CT782" s="1610"/>
      <c r="CU782" s="1598">
        <f>IF(J782="1 Bedroom",O782,0)</f>
        <v>0</v>
      </c>
      <c r="CV782" s="1598"/>
      <c r="CW782" s="1598"/>
      <c r="CX782" s="1598"/>
      <c r="CY782" s="1598"/>
      <c r="CZ782" s="1598">
        <f>IF(J782="2 Bedrooms",O782,0)</f>
        <v>0</v>
      </c>
      <c r="DA782" s="1598"/>
      <c r="DB782" s="1598"/>
      <c r="DC782" s="1598"/>
      <c r="DD782" s="1598"/>
      <c r="DE782" s="1598">
        <f>IF(J782="3 Bedrooms",O782,0)</f>
        <v>0</v>
      </c>
      <c r="DF782" s="1598"/>
      <c r="DG782" s="1598"/>
      <c r="DH782" s="1598"/>
      <c r="DI782" s="1598"/>
      <c r="DJ782" s="1598">
        <f>IF(J782="4 Bedrooms",O782,0)</f>
        <v>0</v>
      </c>
      <c r="DK782" s="1598"/>
      <c r="DL782" s="1598"/>
      <c r="DM782" s="1598"/>
      <c r="DN782" s="1598"/>
      <c r="DO782" s="1598">
        <f>IF(J782="5 Bedrooms",O782,0)</f>
        <v>0</v>
      </c>
      <c r="DP782" s="1598"/>
      <c r="DQ782" s="1598"/>
      <c r="DR782" s="1598"/>
      <c r="DS782" s="1598"/>
      <c r="DT782" s="6"/>
      <c r="DU782" s="3"/>
      <c r="DV782" s="3"/>
    </row>
    <row r="783" spans="1:159" ht="12.9" customHeight="1">
      <c r="J783" s="1448"/>
      <c r="K783" s="1449"/>
      <c r="L783" s="1449"/>
      <c r="M783" s="1449"/>
      <c r="N783" s="1450"/>
      <c r="O783" s="1733"/>
      <c r="P783" s="1733"/>
      <c r="Q783" s="1733"/>
      <c r="R783" s="1733"/>
      <c r="S783" s="1733"/>
      <c r="T783" s="1445"/>
      <c r="U783" s="1446"/>
      <c r="V783" s="1446"/>
      <c r="W783" s="1447"/>
      <c r="X783" s="1476"/>
      <c r="Y783" s="1477"/>
      <c r="Z783" s="1477"/>
      <c r="AA783" s="1477"/>
      <c r="AB783" s="1478"/>
      <c r="AC783" s="1479">
        <f>X783*O783</f>
        <v>0</v>
      </c>
      <c r="AD783" s="1480"/>
      <c r="AE783" s="1480"/>
      <c r="AF783" s="1480"/>
      <c r="AG783" s="1481"/>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608">
        <f>IF(J783="SRO/Studio",O783,0)</f>
        <v>0</v>
      </c>
      <c r="CQ783" s="1609"/>
      <c r="CR783" s="1609"/>
      <c r="CS783" s="1609"/>
      <c r="CT783" s="1610"/>
      <c r="CU783" s="1598">
        <f>IF(J783="1 Bedroom",O783,0)</f>
        <v>0</v>
      </c>
      <c r="CV783" s="1598"/>
      <c r="CW783" s="1598"/>
      <c r="CX783" s="1598"/>
      <c r="CY783" s="1598"/>
      <c r="CZ783" s="1598">
        <f>IF(J783="2 Bedrooms",O783,0)</f>
        <v>0</v>
      </c>
      <c r="DA783" s="1598"/>
      <c r="DB783" s="1598"/>
      <c r="DC783" s="1598"/>
      <c r="DD783" s="1598"/>
      <c r="DE783" s="1598">
        <f>IF(J783="3 Bedrooms",O783,0)</f>
        <v>0</v>
      </c>
      <c r="DF783" s="1598"/>
      <c r="DG783" s="1598"/>
      <c r="DH783" s="1598"/>
      <c r="DI783" s="1598"/>
      <c r="DJ783" s="1598">
        <f>IF(J783="4 Bedrooms",O783,0)</f>
        <v>0</v>
      </c>
      <c r="DK783" s="1598"/>
      <c r="DL783" s="1598"/>
      <c r="DM783" s="1598"/>
      <c r="DN783" s="1598"/>
      <c r="DO783" s="1598">
        <f>IF(J783="5 Bedrooms",O783,0)</f>
        <v>0</v>
      </c>
      <c r="DP783" s="1598"/>
      <c r="DQ783" s="1598"/>
      <c r="DR783" s="1598"/>
      <c r="DS783" s="1598"/>
      <c r="DT783" s="1002"/>
    </row>
    <row r="784" spans="1:159" ht="12.9" customHeight="1">
      <c r="J784" s="1448"/>
      <c r="K784" s="1449"/>
      <c r="L784" s="1449"/>
      <c r="M784" s="1449"/>
      <c r="N784" s="1450"/>
      <c r="O784" s="1733"/>
      <c r="P784" s="1733"/>
      <c r="Q784" s="1733"/>
      <c r="R784" s="1733"/>
      <c r="S784" s="1733"/>
      <c r="T784" s="1445"/>
      <c r="U784" s="1446"/>
      <c r="V784" s="1446"/>
      <c r="W784" s="1447"/>
      <c r="X784" s="1476"/>
      <c r="Y784" s="1477"/>
      <c r="Z784" s="1477"/>
      <c r="AA784" s="1477"/>
      <c r="AB784" s="1478"/>
      <c r="AC784" s="1479">
        <f>X784*O784</f>
        <v>0</v>
      </c>
      <c r="AD784" s="1480"/>
      <c r="AE784" s="1480"/>
      <c r="AF784" s="1480"/>
      <c r="AG784" s="1481"/>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608">
        <f>IF(J784="SRO/Studio",O784,0)</f>
        <v>0</v>
      </c>
      <c r="CQ784" s="1609"/>
      <c r="CR784" s="1609"/>
      <c r="CS784" s="1609"/>
      <c r="CT784" s="1610"/>
      <c r="CU784" s="1598">
        <f>IF(J784="1 Bedroom",O784,0)</f>
        <v>0</v>
      </c>
      <c r="CV784" s="1598"/>
      <c r="CW784" s="1598"/>
      <c r="CX784" s="1598"/>
      <c r="CY784" s="1598"/>
      <c r="CZ784" s="1598">
        <f>IF(J784="2 Bedrooms",O784,0)</f>
        <v>0</v>
      </c>
      <c r="DA784" s="1598"/>
      <c r="DB784" s="1598"/>
      <c r="DC784" s="1598"/>
      <c r="DD784" s="1598"/>
      <c r="DE784" s="1598">
        <f>IF(J784="3 Bedrooms",O784,0)</f>
        <v>0</v>
      </c>
      <c r="DF784" s="1598"/>
      <c r="DG784" s="1598"/>
      <c r="DH784" s="1598"/>
      <c r="DI784" s="1598"/>
      <c r="DJ784" s="1598">
        <f>IF(J784="4 Bedrooms",O784,0)</f>
        <v>0</v>
      </c>
      <c r="DK784" s="1598"/>
      <c r="DL784" s="1598"/>
      <c r="DM784" s="1598"/>
      <c r="DN784" s="1598"/>
      <c r="DO784" s="1598">
        <f>IF(J784="5 Bedrooms",O784,0)</f>
        <v>0</v>
      </c>
      <c r="DP784" s="1598"/>
      <c r="DQ784" s="1598"/>
      <c r="DR784" s="1598"/>
      <c r="DS784" s="1598"/>
    </row>
    <row r="785" spans="1:154" ht="12.9" customHeight="1">
      <c r="J785" s="1586" t="s">
        <v>125</v>
      </c>
      <c r="K785" s="1587"/>
      <c r="L785" s="1587"/>
      <c r="M785" s="1587"/>
      <c r="N785" s="1588"/>
      <c r="O785" s="1600">
        <f>SUM(O781:S784)</f>
        <v>1</v>
      </c>
      <c r="P785" s="1612"/>
      <c r="Q785" s="1612"/>
      <c r="R785" s="1612"/>
      <c r="S785" s="1601"/>
      <c r="X785" s="1586" t="s">
        <v>124</v>
      </c>
      <c r="Y785" s="1587"/>
      <c r="Z785" s="1587"/>
      <c r="AA785" s="1587"/>
      <c r="AB785" s="1588"/>
      <c r="AC785" s="1479">
        <f>SUM(AC781:AG784)</f>
        <v>0</v>
      </c>
      <c r="AD785" s="1480"/>
      <c r="AE785" s="1480"/>
      <c r="AF785" s="1480"/>
      <c r="AG785" s="1481"/>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600">
        <f>SUM(CP781:CT784)</f>
        <v>0</v>
      </c>
      <c r="CQ785" s="1612"/>
      <c r="CR785" s="1612"/>
      <c r="CS785" s="1612"/>
      <c r="CT785" s="1601"/>
      <c r="CU785" s="1602">
        <f>SUM(CU781:CY784)</f>
        <v>0</v>
      </c>
      <c r="CV785" s="1603"/>
      <c r="CW785" s="1603"/>
      <c r="CX785" s="1603"/>
      <c r="CY785" s="1604"/>
      <c r="CZ785" s="1602">
        <f>SUM(CZ781:DD784)</f>
        <v>0</v>
      </c>
      <c r="DA785" s="1603"/>
      <c r="DB785" s="1603"/>
      <c r="DC785" s="1603"/>
      <c r="DD785" s="1604"/>
      <c r="DE785" s="1602">
        <f>SUM(DE781:DI784)</f>
        <v>1</v>
      </c>
      <c r="DF785" s="1603"/>
      <c r="DG785" s="1603"/>
      <c r="DH785" s="1603"/>
      <c r="DI785" s="1604"/>
      <c r="DJ785" s="1602">
        <f>SUM(DJ781:DN784)</f>
        <v>0</v>
      </c>
      <c r="DK785" s="1603"/>
      <c r="DL785" s="1603"/>
      <c r="DM785" s="1603"/>
      <c r="DN785" s="1604"/>
      <c r="DO785" s="1602">
        <f>SUM(DO781:DS784)</f>
        <v>0</v>
      </c>
      <c r="DP785" s="1603"/>
      <c r="DQ785" s="1603"/>
      <c r="DR785" s="1603"/>
      <c r="DS785" s="1604"/>
      <c r="DU785" s="852">
        <f>CP785+CU785+CZ785+DE785+DJ785+DO785</f>
        <v>1</v>
      </c>
      <c r="DV785" s="57" t="s">
        <v>1826</v>
      </c>
    </row>
    <row r="786" spans="1:154" ht="12.9"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1828</v>
      </c>
    </row>
    <row r="787" spans="1:154" ht="12.9" customHeight="1">
      <c r="B787" s="56"/>
      <c r="C787" s="56"/>
      <c r="D787" s="56"/>
      <c r="E787" s="56"/>
      <c r="F787" s="56"/>
      <c r="G787" s="6"/>
      <c r="H787" s="6"/>
      <c r="I787" s="6"/>
      <c r="J787" s="1510" t="s">
        <v>667</v>
      </c>
      <c r="K787" s="1510"/>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 customHeight="1">
      <c r="A789" s="2" t="s">
        <v>584</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 customHeight="1">
      <c r="J791" s="1491" t="s">
        <v>388</v>
      </c>
      <c r="K791" s="1492"/>
      <c r="L791" s="1492"/>
      <c r="M791" s="1492"/>
      <c r="N791" s="1493"/>
      <c r="O791" s="1816" t="s">
        <v>285</v>
      </c>
      <c r="P791" s="1816"/>
      <c r="Q791" s="1816"/>
      <c r="R791" s="1816"/>
      <c r="S791" s="1816"/>
      <c r="T791" s="1817" t="s">
        <v>1665</v>
      </c>
      <c r="U791" s="1818"/>
      <c r="V791" s="1818"/>
      <c r="W791" s="1819"/>
      <c r="X791" s="1491" t="s">
        <v>445</v>
      </c>
      <c r="Y791" s="1492"/>
      <c r="Z791" s="1492"/>
      <c r="AA791" s="1492"/>
      <c r="AB791" s="1493"/>
      <c r="AC791" s="1491" t="s">
        <v>286</v>
      </c>
      <c r="AD791" s="1492"/>
      <c r="AE791" s="1492"/>
      <c r="AF791" s="1492"/>
      <c r="AG791" s="149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 customHeight="1">
      <c r="J792" s="1494"/>
      <c r="K792" s="1495"/>
      <c r="L792" s="1495"/>
      <c r="M792" s="1495"/>
      <c r="N792" s="1496"/>
      <c r="O792" s="1816"/>
      <c r="P792" s="1816"/>
      <c r="Q792" s="1816"/>
      <c r="R792" s="1816"/>
      <c r="S792" s="1816"/>
      <c r="T792" s="1820"/>
      <c r="U792" s="1821"/>
      <c r="V792" s="1821"/>
      <c r="W792" s="1822"/>
      <c r="X792" s="1494"/>
      <c r="Y792" s="1495"/>
      <c r="Z792" s="1495"/>
      <c r="AA792" s="1495"/>
      <c r="AB792" s="1496"/>
      <c r="AC792" s="1494"/>
      <c r="AD792" s="1495"/>
      <c r="AE792" s="1495"/>
      <c r="AF792" s="1495"/>
      <c r="AG792" s="1496"/>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 customHeight="1">
      <c r="J793" s="1494"/>
      <c r="K793" s="1495"/>
      <c r="L793" s="1495"/>
      <c r="M793" s="1495"/>
      <c r="N793" s="1496"/>
      <c r="O793" s="1816"/>
      <c r="P793" s="1816"/>
      <c r="Q793" s="1816"/>
      <c r="R793" s="1816"/>
      <c r="S793" s="1816"/>
      <c r="T793" s="1820"/>
      <c r="U793" s="1821"/>
      <c r="V793" s="1821"/>
      <c r="W793" s="1822"/>
      <c r="X793" s="1494"/>
      <c r="Y793" s="1495"/>
      <c r="Z793" s="1495"/>
      <c r="AA793" s="1495"/>
      <c r="AB793" s="1496"/>
      <c r="AC793" s="1494"/>
      <c r="AD793" s="1495"/>
      <c r="AE793" s="1495"/>
      <c r="AF793" s="1495"/>
      <c r="AG793" s="1496"/>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 customHeight="1">
      <c r="J794" s="1497"/>
      <c r="K794" s="1498"/>
      <c r="L794" s="1498"/>
      <c r="M794" s="1498"/>
      <c r="N794" s="1499"/>
      <c r="O794" s="1816"/>
      <c r="P794" s="1816"/>
      <c r="Q794" s="1816"/>
      <c r="R794" s="1816"/>
      <c r="S794" s="1816"/>
      <c r="T794" s="1823"/>
      <c r="U794" s="1824"/>
      <c r="V794" s="1824"/>
      <c r="W794" s="1825"/>
      <c r="X794" s="1497"/>
      <c r="Y794" s="1498"/>
      <c r="Z794" s="1498"/>
      <c r="AA794" s="1498"/>
      <c r="AB794" s="1499"/>
      <c r="AC794" s="1497"/>
      <c r="AD794" s="1498"/>
      <c r="AE794" s="1498"/>
      <c r="AF794" s="1498"/>
      <c r="AG794" s="1499"/>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2.9" customHeight="1">
      <c r="J795" s="1448"/>
      <c r="K795" s="1449"/>
      <c r="L795" s="1449"/>
      <c r="M795" s="1449"/>
      <c r="N795" s="1450"/>
      <c r="O795" s="1733"/>
      <c r="P795" s="1733"/>
      <c r="Q795" s="1733"/>
      <c r="R795" s="1733"/>
      <c r="S795" s="1733"/>
      <c r="T795" s="1445"/>
      <c r="U795" s="1446"/>
      <c r="V795" s="1446"/>
      <c r="W795" s="1447"/>
      <c r="X795" s="1476"/>
      <c r="Y795" s="1477"/>
      <c r="Z795" s="1477"/>
      <c r="AA795" s="1477"/>
      <c r="AB795" s="1478"/>
      <c r="AC795" s="1479">
        <f t="shared" ref="AC795:AC804" si="42">X795*O795</f>
        <v>0</v>
      </c>
      <c r="AD795" s="1480"/>
      <c r="AE795" s="1480"/>
      <c r="AF795" s="1480"/>
      <c r="AG795" s="1481"/>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608">
        <f t="shared" ref="CP795:CP804" si="43">IF(J795="SRO/Studio",O795,0)</f>
        <v>0</v>
      </c>
      <c r="CQ795" s="1609"/>
      <c r="CR795" s="1609"/>
      <c r="CS795" s="1609"/>
      <c r="CT795" s="1610"/>
      <c r="CU795" s="1608">
        <f t="shared" ref="CU795:CU804" si="44">IF(J795="1 Bedroom",O795,0)</f>
        <v>0</v>
      </c>
      <c r="CV795" s="1609"/>
      <c r="CW795" s="1609"/>
      <c r="CX795" s="1609"/>
      <c r="CY795" s="1610"/>
      <c r="CZ795" s="1608">
        <f t="shared" ref="CZ795:CZ804" si="45">IF(J795="2 Bedrooms",O795,0)</f>
        <v>0</v>
      </c>
      <c r="DA795" s="1609"/>
      <c r="DB795" s="1609"/>
      <c r="DC795" s="1609"/>
      <c r="DD795" s="1610"/>
      <c r="DE795" s="1608">
        <f t="shared" ref="DE795:DE804" si="46">IF(J795="3 Bedrooms",O795,0)</f>
        <v>0</v>
      </c>
      <c r="DF795" s="1609"/>
      <c r="DG795" s="1609"/>
      <c r="DH795" s="1609"/>
      <c r="DI795" s="1610"/>
      <c r="DJ795" s="1608">
        <f t="shared" ref="DJ795:DJ804" si="47">IF(J795="4 Bedrooms",O795,0)</f>
        <v>0</v>
      </c>
      <c r="DK795" s="1609"/>
      <c r="DL795" s="1609"/>
      <c r="DM795" s="1609"/>
      <c r="DN795" s="1610"/>
      <c r="DO795" s="1608">
        <f t="shared" ref="DO795:DO804" si="48">IF(J795="5 Bedrooms",O795,0)</f>
        <v>0</v>
      </c>
      <c r="DP795" s="1609"/>
      <c r="DQ795" s="1609"/>
      <c r="DR795" s="1609"/>
      <c r="DS795" s="1610"/>
      <c r="DT795" s="6"/>
      <c r="DU795" s="1608">
        <f t="shared" ref="DU795:DU804" si="49">IF(AND(CP795&gt;=1,AH795&gt;=0.1,AH795&lt;=1),O795,0)</f>
        <v>0</v>
      </c>
      <c r="DV795" s="1609"/>
      <c r="DW795" s="1609"/>
      <c r="DX795" s="1609"/>
      <c r="DY795" s="1610"/>
      <c r="DZ795" s="1608">
        <f t="shared" ref="DZ795:DZ804" si="50">IF(AND(CU795&gt;=1,AH795&gt;=0.1,AH795&lt;=1),O795,0)</f>
        <v>0</v>
      </c>
      <c r="EA795" s="1609"/>
      <c r="EB795" s="1609"/>
      <c r="EC795" s="1609"/>
      <c r="ED795" s="1610"/>
      <c r="EE795" s="1608">
        <f t="shared" ref="EE795:EE804" si="51">IF(AND(CZ795&gt;=1,AH795&gt;=0.1,AH795&lt;=1),O795,0)</f>
        <v>0</v>
      </c>
      <c r="EF795" s="1609"/>
      <c r="EG795" s="1609"/>
      <c r="EH795" s="1609"/>
      <c r="EI795" s="1610"/>
      <c r="EJ795" s="1608">
        <f t="shared" ref="EJ795:EJ804" si="52">IF(AND(DE795&gt;=1,AH795&gt;=0.1,AH795&lt;=1),O795,0)</f>
        <v>0</v>
      </c>
      <c r="EK795" s="1609"/>
      <c r="EL795" s="1609"/>
      <c r="EM795" s="1609"/>
      <c r="EN795" s="1610"/>
      <c r="EO795" s="1608">
        <f t="shared" ref="EO795:EO804" si="53">IF(AND(DJ795&gt;=1,AH795&gt;=0.1,AH795&lt;=1),O795,0)</f>
        <v>0</v>
      </c>
      <c r="EP795" s="1609"/>
      <c r="EQ795" s="1609"/>
      <c r="ER795" s="1609"/>
      <c r="ES795" s="1610"/>
      <c r="ET795" s="1608">
        <f t="shared" ref="ET795:ET804" si="54">IF(AND(DO795&gt;=1,AH795&gt;=0.1,AH795&lt;=1),O795,0)</f>
        <v>0</v>
      </c>
      <c r="EU795" s="1609"/>
      <c r="EV795" s="1609"/>
      <c r="EW795" s="1609"/>
      <c r="EX795" s="1610"/>
    </row>
    <row r="796" spans="1:154" s="14" customFormat="1" ht="12.9" customHeight="1">
      <c r="A796"/>
      <c r="B796"/>
      <c r="C796"/>
      <c r="D796"/>
      <c r="E796"/>
      <c r="F796"/>
      <c r="G796"/>
      <c r="H796"/>
      <c r="I796"/>
      <c r="J796" s="1448"/>
      <c r="K796" s="1449"/>
      <c r="L796" s="1449"/>
      <c r="M796" s="1449"/>
      <c r="N796" s="1450"/>
      <c r="O796" s="1733"/>
      <c r="P796" s="1733"/>
      <c r="Q796" s="1733"/>
      <c r="R796" s="1733"/>
      <c r="S796" s="1733"/>
      <c r="T796" s="1445"/>
      <c r="U796" s="1446"/>
      <c r="V796" s="1446"/>
      <c r="W796" s="1447"/>
      <c r="X796" s="1476"/>
      <c r="Y796" s="1477"/>
      <c r="Z796" s="1477"/>
      <c r="AA796" s="1477"/>
      <c r="AB796" s="1478"/>
      <c r="AC796" s="1479">
        <f t="shared" si="42"/>
        <v>0</v>
      </c>
      <c r="AD796" s="1480"/>
      <c r="AE796" s="1480"/>
      <c r="AF796" s="1480"/>
      <c r="AG796" s="1481"/>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608">
        <f t="shared" si="43"/>
        <v>0</v>
      </c>
      <c r="CQ796" s="1609"/>
      <c r="CR796" s="1609"/>
      <c r="CS796" s="1609"/>
      <c r="CT796" s="1610"/>
      <c r="CU796" s="1608">
        <f t="shared" si="44"/>
        <v>0</v>
      </c>
      <c r="CV796" s="1609"/>
      <c r="CW796" s="1609"/>
      <c r="CX796" s="1609"/>
      <c r="CY796" s="1610"/>
      <c r="CZ796" s="1608">
        <f t="shared" si="45"/>
        <v>0</v>
      </c>
      <c r="DA796" s="1609"/>
      <c r="DB796" s="1609"/>
      <c r="DC796" s="1609"/>
      <c r="DD796" s="1610"/>
      <c r="DE796" s="1608">
        <f t="shared" si="46"/>
        <v>0</v>
      </c>
      <c r="DF796" s="1609"/>
      <c r="DG796" s="1609"/>
      <c r="DH796" s="1609"/>
      <c r="DI796" s="1610"/>
      <c r="DJ796" s="1608">
        <f t="shared" si="47"/>
        <v>0</v>
      </c>
      <c r="DK796" s="1609"/>
      <c r="DL796" s="1609"/>
      <c r="DM796" s="1609"/>
      <c r="DN796" s="1610"/>
      <c r="DO796" s="1608">
        <f t="shared" si="48"/>
        <v>0</v>
      </c>
      <c r="DP796" s="1609"/>
      <c r="DQ796" s="1609"/>
      <c r="DR796" s="1609"/>
      <c r="DS796" s="1610"/>
      <c r="DT796" s="6"/>
      <c r="DU796" s="1608">
        <f t="shared" si="49"/>
        <v>0</v>
      </c>
      <c r="DV796" s="1609"/>
      <c r="DW796" s="1609"/>
      <c r="DX796" s="1609"/>
      <c r="DY796" s="1610"/>
      <c r="DZ796" s="1608">
        <f t="shared" si="50"/>
        <v>0</v>
      </c>
      <c r="EA796" s="1609"/>
      <c r="EB796" s="1609"/>
      <c r="EC796" s="1609"/>
      <c r="ED796" s="1610"/>
      <c r="EE796" s="1608">
        <f t="shared" si="51"/>
        <v>0</v>
      </c>
      <c r="EF796" s="1609"/>
      <c r="EG796" s="1609"/>
      <c r="EH796" s="1609"/>
      <c r="EI796" s="1610"/>
      <c r="EJ796" s="1608">
        <f t="shared" si="52"/>
        <v>0</v>
      </c>
      <c r="EK796" s="1609"/>
      <c r="EL796" s="1609"/>
      <c r="EM796" s="1609"/>
      <c r="EN796" s="1610"/>
      <c r="EO796" s="1608">
        <f t="shared" si="53"/>
        <v>0</v>
      </c>
      <c r="EP796" s="1609"/>
      <c r="EQ796" s="1609"/>
      <c r="ER796" s="1609"/>
      <c r="ES796" s="1610"/>
      <c r="ET796" s="1608">
        <f t="shared" si="54"/>
        <v>0</v>
      </c>
      <c r="EU796" s="1609"/>
      <c r="EV796" s="1609"/>
      <c r="EW796" s="1609"/>
      <c r="EX796" s="1610"/>
    </row>
    <row r="797" spans="1:154" s="14" customFormat="1" ht="12.9" customHeight="1">
      <c r="A797"/>
      <c r="B797"/>
      <c r="C797"/>
      <c r="D797"/>
      <c r="E797"/>
      <c r="F797"/>
      <c r="G797"/>
      <c r="H797"/>
      <c r="I797"/>
      <c r="J797" s="1448"/>
      <c r="K797" s="1449"/>
      <c r="L797" s="1449"/>
      <c r="M797" s="1449"/>
      <c r="N797" s="1450"/>
      <c r="O797" s="1733"/>
      <c r="P797" s="1733"/>
      <c r="Q797" s="1733"/>
      <c r="R797" s="1733"/>
      <c r="S797" s="1733"/>
      <c r="T797" s="1445"/>
      <c r="U797" s="1446"/>
      <c r="V797" s="1446"/>
      <c r="W797" s="1447"/>
      <c r="X797" s="1476"/>
      <c r="Y797" s="1477"/>
      <c r="Z797" s="1477"/>
      <c r="AA797" s="1477"/>
      <c r="AB797" s="1478"/>
      <c r="AC797" s="1479">
        <f t="shared" si="42"/>
        <v>0</v>
      </c>
      <c r="AD797" s="1480"/>
      <c r="AE797" s="1480"/>
      <c r="AF797" s="1480"/>
      <c r="AG797" s="1481"/>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608">
        <f t="shared" si="43"/>
        <v>0</v>
      </c>
      <c r="CQ797" s="1609"/>
      <c r="CR797" s="1609"/>
      <c r="CS797" s="1609"/>
      <c r="CT797" s="1610"/>
      <c r="CU797" s="1608">
        <f t="shared" si="44"/>
        <v>0</v>
      </c>
      <c r="CV797" s="1609"/>
      <c r="CW797" s="1609"/>
      <c r="CX797" s="1609"/>
      <c r="CY797" s="1610"/>
      <c r="CZ797" s="1608">
        <f t="shared" si="45"/>
        <v>0</v>
      </c>
      <c r="DA797" s="1609"/>
      <c r="DB797" s="1609"/>
      <c r="DC797" s="1609"/>
      <c r="DD797" s="1610"/>
      <c r="DE797" s="1608">
        <f t="shared" si="46"/>
        <v>0</v>
      </c>
      <c r="DF797" s="1609"/>
      <c r="DG797" s="1609"/>
      <c r="DH797" s="1609"/>
      <c r="DI797" s="1610"/>
      <c r="DJ797" s="1608">
        <f t="shared" si="47"/>
        <v>0</v>
      </c>
      <c r="DK797" s="1609"/>
      <c r="DL797" s="1609"/>
      <c r="DM797" s="1609"/>
      <c r="DN797" s="1610"/>
      <c r="DO797" s="1608">
        <f t="shared" si="48"/>
        <v>0</v>
      </c>
      <c r="DP797" s="1609"/>
      <c r="DQ797" s="1609"/>
      <c r="DR797" s="1609"/>
      <c r="DS797" s="1610"/>
      <c r="DT797" s="6"/>
      <c r="DU797" s="1608">
        <f t="shared" si="49"/>
        <v>0</v>
      </c>
      <c r="DV797" s="1609"/>
      <c r="DW797" s="1609"/>
      <c r="DX797" s="1609"/>
      <c r="DY797" s="1610"/>
      <c r="DZ797" s="1608">
        <f t="shared" si="50"/>
        <v>0</v>
      </c>
      <c r="EA797" s="1609"/>
      <c r="EB797" s="1609"/>
      <c r="EC797" s="1609"/>
      <c r="ED797" s="1610"/>
      <c r="EE797" s="1608">
        <f t="shared" si="51"/>
        <v>0</v>
      </c>
      <c r="EF797" s="1609"/>
      <c r="EG797" s="1609"/>
      <c r="EH797" s="1609"/>
      <c r="EI797" s="1610"/>
      <c r="EJ797" s="1608">
        <f t="shared" si="52"/>
        <v>0</v>
      </c>
      <c r="EK797" s="1609"/>
      <c r="EL797" s="1609"/>
      <c r="EM797" s="1609"/>
      <c r="EN797" s="1610"/>
      <c r="EO797" s="1608">
        <f t="shared" si="53"/>
        <v>0</v>
      </c>
      <c r="EP797" s="1609"/>
      <c r="EQ797" s="1609"/>
      <c r="ER797" s="1609"/>
      <c r="ES797" s="1610"/>
      <c r="ET797" s="1608">
        <f t="shared" si="54"/>
        <v>0</v>
      </c>
      <c r="EU797" s="1609"/>
      <c r="EV797" s="1609"/>
      <c r="EW797" s="1609"/>
      <c r="EX797" s="1610"/>
    </row>
    <row r="798" spans="1:154" s="14" customFormat="1" ht="12.9" customHeight="1">
      <c r="A798"/>
      <c r="B798"/>
      <c r="C798"/>
      <c r="D798"/>
      <c r="E798"/>
      <c r="F798"/>
      <c r="G798"/>
      <c r="H798"/>
      <c r="I798"/>
      <c r="J798" s="1448"/>
      <c r="K798" s="1449"/>
      <c r="L798" s="1449"/>
      <c r="M798" s="1449"/>
      <c r="N798" s="1450"/>
      <c r="O798" s="1733"/>
      <c r="P798" s="1733"/>
      <c r="Q798" s="1733"/>
      <c r="R798" s="1733"/>
      <c r="S798" s="1733"/>
      <c r="T798" s="1445"/>
      <c r="U798" s="1446"/>
      <c r="V798" s="1446"/>
      <c r="W798" s="1447"/>
      <c r="X798" s="1476"/>
      <c r="Y798" s="1477"/>
      <c r="Z798" s="1477"/>
      <c r="AA798" s="1477"/>
      <c r="AB798" s="1478"/>
      <c r="AC798" s="1479">
        <f t="shared" si="42"/>
        <v>0</v>
      </c>
      <c r="AD798" s="1480"/>
      <c r="AE798" s="1480"/>
      <c r="AF798" s="1480"/>
      <c r="AG798" s="1481"/>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608">
        <f t="shared" si="43"/>
        <v>0</v>
      </c>
      <c r="CQ798" s="1609"/>
      <c r="CR798" s="1609"/>
      <c r="CS798" s="1609"/>
      <c r="CT798" s="1610"/>
      <c r="CU798" s="1608">
        <f t="shared" si="44"/>
        <v>0</v>
      </c>
      <c r="CV798" s="1609"/>
      <c r="CW798" s="1609"/>
      <c r="CX798" s="1609"/>
      <c r="CY798" s="1610"/>
      <c r="CZ798" s="1608">
        <f t="shared" si="45"/>
        <v>0</v>
      </c>
      <c r="DA798" s="1609"/>
      <c r="DB798" s="1609"/>
      <c r="DC798" s="1609"/>
      <c r="DD798" s="1610"/>
      <c r="DE798" s="1608">
        <f t="shared" si="46"/>
        <v>0</v>
      </c>
      <c r="DF798" s="1609"/>
      <c r="DG798" s="1609"/>
      <c r="DH798" s="1609"/>
      <c r="DI798" s="1610"/>
      <c r="DJ798" s="1608">
        <f t="shared" si="47"/>
        <v>0</v>
      </c>
      <c r="DK798" s="1609"/>
      <c r="DL798" s="1609"/>
      <c r="DM798" s="1609"/>
      <c r="DN798" s="1610"/>
      <c r="DO798" s="1608">
        <f t="shared" si="48"/>
        <v>0</v>
      </c>
      <c r="DP798" s="1609"/>
      <c r="DQ798" s="1609"/>
      <c r="DR798" s="1609"/>
      <c r="DS798" s="1610"/>
      <c r="DT798" s="6"/>
      <c r="DU798" s="1608">
        <f t="shared" si="49"/>
        <v>0</v>
      </c>
      <c r="DV798" s="1609"/>
      <c r="DW798" s="1609"/>
      <c r="DX798" s="1609"/>
      <c r="DY798" s="1610"/>
      <c r="DZ798" s="1608">
        <f t="shared" si="50"/>
        <v>0</v>
      </c>
      <c r="EA798" s="1609"/>
      <c r="EB798" s="1609"/>
      <c r="EC798" s="1609"/>
      <c r="ED798" s="1610"/>
      <c r="EE798" s="1608">
        <f t="shared" si="51"/>
        <v>0</v>
      </c>
      <c r="EF798" s="1609"/>
      <c r="EG798" s="1609"/>
      <c r="EH798" s="1609"/>
      <c r="EI798" s="1610"/>
      <c r="EJ798" s="1608">
        <f t="shared" si="52"/>
        <v>0</v>
      </c>
      <c r="EK798" s="1609"/>
      <c r="EL798" s="1609"/>
      <c r="EM798" s="1609"/>
      <c r="EN798" s="1610"/>
      <c r="EO798" s="1608">
        <f t="shared" si="53"/>
        <v>0</v>
      </c>
      <c r="EP798" s="1609"/>
      <c r="EQ798" s="1609"/>
      <c r="ER798" s="1609"/>
      <c r="ES798" s="1610"/>
      <c r="ET798" s="1608">
        <f t="shared" si="54"/>
        <v>0</v>
      </c>
      <c r="EU798" s="1609"/>
      <c r="EV798" s="1609"/>
      <c r="EW798" s="1609"/>
      <c r="EX798" s="1610"/>
    </row>
    <row r="799" spans="1:154" s="14" customFormat="1" ht="12.9" customHeight="1">
      <c r="A799"/>
      <c r="B799"/>
      <c r="C799"/>
      <c r="D799"/>
      <c r="E799"/>
      <c r="F799"/>
      <c r="G799"/>
      <c r="H799"/>
      <c r="I799"/>
      <c r="J799" s="1448"/>
      <c r="K799" s="1449"/>
      <c r="L799" s="1449"/>
      <c r="M799" s="1449"/>
      <c r="N799" s="1450"/>
      <c r="O799" s="1733"/>
      <c r="P799" s="1733"/>
      <c r="Q799" s="1733"/>
      <c r="R799" s="1733"/>
      <c r="S799" s="1733"/>
      <c r="T799" s="1445"/>
      <c r="U799" s="1446"/>
      <c r="V799" s="1446"/>
      <c r="W799" s="1447"/>
      <c r="X799" s="1476"/>
      <c r="Y799" s="1477"/>
      <c r="Z799" s="1477"/>
      <c r="AA799" s="1477"/>
      <c r="AB799" s="1478"/>
      <c r="AC799" s="1479">
        <f t="shared" si="42"/>
        <v>0</v>
      </c>
      <c r="AD799" s="1480"/>
      <c r="AE799" s="1480"/>
      <c r="AF799" s="1480"/>
      <c r="AG799" s="1481"/>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608">
        <f t="shared" si="43"/>
        <v>0</v>
      </c>
      <c r="CQ799" s="1609"/>
      <c r="CR799" s="1609"/>
      <c r="CS799" s="1609"/>
      <c r="CT799" s="1610"/>
      <c r="CU799" s="1608">
        <f t="shared" si="44"/>
        <v>0</v>
      </c>
      <c r="CV799" s="1609"/>
      <c r="CW799" s="1609"/>
      <c r="CX799" s="1609"/>
      <c r="CY799" s="1610"/>
      <c r="CZ799" s="1608">
        <f t="shared" si="45"/>
        <v>0</v>
      </c>
      <c r="DA799" s="1609"/>
      <c r="DB799" s="1609"/>
      <c r="DC799" s="1609"/>
      <c r="DD799" s="1610"/>
      <c r="DE799" s="1608">
        <f t="shared" si="46"/>
        <v>0</v>
      </c>
      <c r="DF799" s="1609"/>
      <c r="DG799" s="1609"/>
      <c r="DH799" s="1609"/>
      <c r="DI799" s="1610"/>
      <c r="DJ799" s="1608">
        <f t="shared" si="47"/>
        <v>0</v>
      </c>
      <c r="DK799" s="1609"/>
      <c r="DL799" s="1609"/>
      <c r="DM799" s="1609"/>
      <c r="DN799" s="1610"/>
      <c r="DO799" s="1608">
        <f t="shared" si="48"/>
        <v>0</v>
      </c>
      <c r="DP799" s="1609"/>
      <c r="DQ799" s="1609"/>
      <c r="DR799" s="1609"/>
      <c r="DS799" s="1610"/>
      <c r="DT799" s="6"/>
      <c r="DU799" s="1608">
        <f t="shared" si="49"/>
        <v>0</v>
      </c>
      <c r="DV799" s="1609"/>
      <c r="DW799" s="1609"/>
      <c r="DX799" s="1609"/>
      <c r="DY799" s="1610"/>
      <c r="DZ799" s="1608">
        <f t="shared" si="50"/>
        <v>0</v>
      </c>
      <c r="EA799" s="1609"/>
      <c r="EB799" s="1609"/>
      <c r="EC799" s="1609"/>
      <c r="ED799" s="1610"/>
      <c r="EE799" s="1608">
        <f t="shared" si="51"/>
        <v>0</v>
      </c>
      <c r="EF799" s="1609"/>
      <c r="EG799" s="1609"/>
      <c r="EH799" s="1609"/>
      <c r="EI799" s="1610"/>
      <c r="EJ799" s="1608">
        <f t="shared" si="52"/>
        <v>0</v>
      </c>
      <c r="EK799" s="1609"/>
      <c r="EL799" s="1609"/>
      <c r="EM799" s="1609"/>
      <c r="EN799" s="1610"/>
      <c r="EO799" s="1608">
        <f t="shared" si="53"/>
        <v>0</v>
      </c>
      <c r="EP799" s="1609"/>
      <c r="EQ799" s="1609"/>
      <c r="ER799" s="1609"/>
      <c r="ES799" s="1610"/>
      <c r="ET799" s="1608">
        <f t="shared" si="54"/>
        <v>0</v>
      </c>
      <c r="EU799" s="1609"/>
      <c r="EV799" s="1609"/>
      <c r="EW799" s="1609"/>
      <c r="EX799" s="1610"/>
    </row>
    <row r="800" spans="1:154" s="14" customFormat="1" ht="12.9" customHeight="1">
      <c r="A800"/>
      <c r="B800"/>
      <c r="C800"/>
      <c r="D800"/>
      <c r="E800"/>
      <c r="F800"/>
      <c r="G800"/>
      <c r="H800"/>
      <c r="I800"/>
      <c r="J800" s="1448"/>
      <c r="K800" s="1449"/>
      <c r="L800" s="1449"/>
      <c r="M800" s="1449"/>
      <c r="N800" s="1450"/>
      <c r="O800" s="1733"/>
      <c r="P800" s="1733"/>
      <c r="Q800" s="1733"/>
      <c r="R800" s="1733"/>
      <c r="S800" s="1733"/>
      <c r="T800" s="1445"/>
      <c r="U800" s="1446"/>
      <c r="V800" s="1446"/>
      <c r="W800" s="1447"/>
      <c r="X800" s="1476"/>
      <c r="Y800" s="1477"/>
      <c r="Z800" s="1477"/>
      <c r="AA800" s="1477"/>
      <c r="AB800" s="1478"/>
      <c r="AC800" s="1479">
        <f t="shared" si="42"/>
        <v>0</v>
      </c>
      <c r="AD800" s="1480"/>
      <c r="AE800" s="1480"/>
      <c r="AF800" s="1480"/>
      <c r="AG800" s="1481"/>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608">
        <f t="shared" si="43"/>
        <v>0</v>
      </c>
      <c r="CQ800" s="1609"/>
      <c r="CR800" s="1609"/>
      <c r="CS800" s="1609"/>
      <c r="CT800" s="1610"/>
      <c r="CU800" s="1608">
        <f t="shared" si="44"/>
        <v>0</v>
      </c>
      <c r="CV800" s="1609"/>
      <c r="CW800" s="1609"/>
      <c r="CX800" s="1609"/>
      <c r="CY800" s="1610"/>
      <c r="CZ800" s="1608">
        <f t="shared" si="45"/>
        <v>0</v>
      </c>
      <c r="DA800" s="1609"/>
      <c r="DB800" s="1609"/>
      <c r="DC800" s="1609"/>
      <c r="DD800" s="1610"/>
      <c r="DE800" s="1608">
        <f t="shared" si="46"/>
        <v>0</v>
      </c>
      <c r="DF800" s="1609"/>
      <c r="DG800" s="1609"/>
      <c r="DH800" s="1609"/>
      <c r="DI800" s="1610"/>
      <c r="DJ800" s="1608">
        <f t="shared" si="47"/>
        <v>0</v>
      </c>
      <c r="DK800" s="1609"/>
      <c r="DL800" s="1609"/>
      <c r="DM800" s="1609"/>
      <c r="DN800" s="1610"/>
      <c r="DO800" s="1608">
        <f t="shared" si="48"/>
        <v>0</v>
      </c>
      <c r="DP800" s="1609"/>
      <c r="DQ800" s="1609"/>
      <c r="DR800" s="1609"/>
      <c r="DS800" s="1610"/>
      <c r="DT800" s="6"/>
      <c r="DU800" s="1608">
        <f t="shared" si="49"/>
        <v>0</v>
      </c>
      <c r="DV800" s="1609"/>
      <c r="DW800" s="1609"/>
      <c r="DX800" s="1609"/>
      <c r="DY800" s="1610"/>
      <c r="DZ800" s="1608">
        <f t="shared" si="50"/>
        <v>0</v>
      </c>
      <c r="EA800" s="1609"/>
      <c r="EB800" s="1609"/>
      <c r="EC800" s="1609"/>
      <c r="ED800" s="1610"/>
      <c r="EE800" s="1608">
        <f t="shared" si="51"/>
        <v>0</v>
      </c>
      <c r="EF800" s="1609"/>
      <c r="EG800" s="1609"/>
      <c r="EH800" s="1609"/>
      <c r="EI800" s="1610"/>
      <c r="EJ800" s="1608">
        <f t="shared" si="52"/>
        <v>0</v>
      </c>
      <c r="EK800" s="1609"/>
      <c r="EL800" s="1609"/>
      <c r="EM800" s="1609"/>
      <c r="EN800" s="1610"/>
      <c r="EO800" s="1608">
        <f t="shared" si="53"/>
        <v>0</v>
      </c>
      <c r="EP800" s="1609"/>
      <c r="EQ800" s="1609"/>
      <c r="ER800" s="1609"/>
      <c r="ES800" s="1610"/>
      <c r="ET800" s="1608">
        <f t="shared" si="54"/>
        <v>0</v>
      </c>
      <c r="EU800" s="1609"/>
      <c r="EV800" s="1609"/>
      <c r="EW800" s="1609"/>
      <c r="EX800" s="1610"/>
    </row>
    <row r="801" spans="1:154" s="14" customFormat="1" ht="12.9" customHeight="1">
      <c r="A801"/>
      <c r="B801"/>
      <c r="C801"/>
      <c r="D801"/>
      <c r="E801"/>
      <c r="F801"/>
      <c r="G801"/>
      <c r="H801"/>
      <c r="I801"/>
      <c r="J801" s="1448"/>
      <c r="K801" s="1449"/>
      <c r="L801" s="1449"/>
      <c r="M801" s="1449"/>
      <c r="N801" s="1450"/>
      <c r="O801" s="1733"/>
      <c r="P801" s="1733"/>
      <c r="Q801" s="1733"/>
      <c r="R801" s="1733"/>
      <c r="S801" s="1733"/>
      <c r="T801" s="1445"/>
      <c r="U801" s="1446"/>
      <c r="V801" s="1446"/>
      <c r="W801" s="1447"/>
      <c r="X801" s="1476"/>
      <c r="Y801" s="1477"/>
      <c r="Z801" s="1477"/>
      <c r="AA801" s="1477"/>
      <c r="AB801" s="1478"/>
      <c r="AC801" s="1479">
        <f t="shared" si="42"/>
        <v>0</v>
      </c>
      <c r="AD801" s="1480"/>
      <c r="AE801" s="1480"/>
      <c r="AF801" s="1480"/>
      <c r="AG801" s="1481"/>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608">
        <f t="shared" si="43"/>
        <v>0</v>
      </c>
      <c r="CQ801" s="1609"/>
      <c r="CR801" s="1609"/>
      <c r="CS801" s="1609"/>
      <c r="CT801" s="1610"/>
      <c r="CU801" s="1608">
        <f t="shared" si="44"/>
        <v>0</v>
      </c>
      <c r="CV801" s="1609"/>
      <c r="CW801" s="1609"/>
      <c r="CX801" s="1609"/>
      <c r="CY801" s="1610"/>
      <c r="CZ801" s="1608">
        <f t="shared" si="45"/>
        <v>0</v>
      </c>
      <c r="DA801" s="1609"/>
      <c r="DB801" s="1609"/>
      <c r="DC801" s="1609"/>
      <c r="DD801" s="1610"/>
      <c r="DE801" s="1608">
        <f t="shared" si="46"/>
        <v>0</v>
      </c>
      <c r="DF801" s="1609"/>
      <c r="DG801" s="1609"/>
      <c r="DH801" s="1609"/>
      <c r="DI801" s="1610"/>
      <c r="DJ801" s="1608">
        <f t="shared" si="47"/>
        <v>0</v>
      </c>
      <c r="DK801" s="1609"/>
      <c r="DL801" s="1609"/>
      <c r="DM801" s="1609"/>
      <c r="DN801" s="1610"/>
      <c r="DO801" s="1608">
        <f t="shared" si="48"/>
        <v>0</v>
      </c>
      <c r="DP801" s="1609"/>
      <c r="DQ801" s="1609"/>
      <c r="DR801" s="1609"/>
      <c r="DS801" s="1610"/>
      <c r="DT801" s="6"/>
      <c r="DU801" s="1608">
        <f t="shared" si="49"/>
        <v>0</v>
      </c>
      <c r="DV801" s="1609"/>
      <c r="DW801" s="1609"/>
      <c r="DX801" s="1609"/>
      <c r="DY801" s="1610"/>
      <c r="DZ801" s="1608">
        <f t="shared" si="50"/>
        <v>0</v>
      </c>
      <c r="EA801" s="1609"/>
      <c r="EB801" s="1609"/>
      <c r="EC801" s="1609"/>
      <c r="ED801" s="1610"/>
      <c r="EE801" s="1608">
        <f t="shared" si="51"/>
        <v>0</v>
      </c>
      <c r="EF801" s="1609"/>
      <c r="EG801" s="1609"/>
      <c r="EH801" s="1609"/>
      <c r="EI801" s="1610"/>
      <c r="EJ801" s="1608">
        <f t="shared" si="52"/>
        <v>0</v>
      </c>
      <c r="EK801" s="1609"/>
      <c r="EL801" s="1609"/>
      <c r="EM801" s="1609"/>
      <c r="EN801" s="1610"/>
      <c r="EO801" s="1608">
        <f t="shared" si="53"/>
        <v>0</v>
      </c>
      <c r="EP801" s="1609"/>
      <c r="EQ801" s="1609"/>
      <c r="ER801" s="1609"/>
      <c r="ES801" s="1610"/>
      <c r="ET801" s="1608">
        <f t="shared" si="54"/>
        <v>0</v>
      </c>
      <c r="EU801" s="1609"/>
      <c r="EV801" s="1609"/>
      <c r="EW801" s="1609"/>
      <c r="EX801" s="1610"/>
    </row>
    <row r="802" spans="1:154" s="14" customFormat="1" ht="12.9" customHeight="1">
      <c r="A802"/>
      <c r="B802"/>
      <c r="C802"/>
      <c r="D802"/>
      <c r="E802"/>
      <c r="F802"/>
      <c r="G802"/>
      <c r="H802"/>
      <c r="I802"/>
      <c r="J802" s="1448"/>
      <c r="K802" s="1449"/>
      <c r="L802" s="1449"/>
      <c r="M802" s="1449"/>
      <c r="N802" s="1450"/>
      <c r="O802" s="1733"/>
      <c r="P802" s="1733"/>
      <c r="Q802" s="1733"/>
      <c r="R802" s="1733"/>
      <c r="S802" s="1733"/>
      <c r="T802" s="1445"/>
      <c r="U802" s="1446"/>
      <c r="V802" s="1446"/>
      <c r="W802" s="1447"/>
      <c r="X802" s="1476"/>
      <c r="Y802" s="1477"/>
      <c r="Z802" s="1477"/>
      <c r="AA802" s="1477"/>
      <c r="AB802" s="1478"/>
      <c r="AC802" s="1479">
        <f t="shared" si="42"/>
        <v>0</v>
      </c>
      <c r="AD802" s="1480"/>
      <c r="AE802" s="1480"/>
      <c r="AF802" s="1480"/>
      <c r="AG802" s="1481"/>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608">
        <f t="shared" si="43"/>
        <v>0</v>
      </c>
      <c r="CQ802" s="1609"/>
      <c r="CR802" s="1609"/>
      <c r="CS802" s="1609"/>
      <c r="CT802" s="1610"/>
      <c r="CU802" s="1608">
        <f t="shared" si="44"/>
        <v>0</v>
      </c>
      <c r="CV802" s="1609"/>
      <c r="CW802" s="1609"/>
      <c r="CX802" s="1609"/>
      <c r="CY802" s="1610"/>
      <c r="CZ802" s="1608">
        <f t="shared" si="45"/>
        <v>0</v>
      </c>
      <c r="DA802" s="1609"/>
      <c r="DB802" s="1609"/>
      <c r="DC802" s="1609"/>
      <c r="DD802" s="1610"/>
      <c r="DE802" s="1608">
        <f t="shared" si="46"/>
        <v>0</v>
      </c>
      <c r="DF802" s="1609"/>
      <c r="DG802" s="1609"/>
      <c r="DH802" s="1609"/>
      <c r="DI802" s="1610"/>
      <c r="DJ802" s="1608">
        <f t="shared" si="47"/>
        <v>0</v>
      </c>
      <c r="DK802" s="1609"/>
      <c r="DL802" s="1609"/>
      <c r="DM802" s="1609"/>
      <c r="DN802" s="1610"/>
      <c r="DO802" s="1608">
        <f t="shared" si="48"/>
        <v>0</v>
      </c>
      <c r="DP802" s="1609"/>
      <c r="DQ802" s="1609"/>
      <c r="DR802" s="1609"/>
      <c r="DS802" s="1610"/>
      <c r="DT802" s="6"/>
      <c r="DU802" s="1608">
        <f t="shared" si="49"/>
        <v>0</v>
      </c>
      <c r="DV802" s="1609"/>
      <c r="DW802" s="1609"/>
      <c r="DX802" s="1609"/>
      <c r="DY802" s="1610"/>
      <c r="DZ802" s="1608">
        <f t="shared" si="50"/>
        <v>0</v>
      </c>
      <c r="EA802" s="1609"/>
      <c r="EB802" s="1609"/>
      <c r="EC802" s="1609"/>
      <c r="ED802" s="1610"/>
      <c r="EE802" s="1608">
        <f t="shared" si="51"/>
        <v>0</v>
      </c>
      <c r="EF802" s="1609"/>
      <c r="EG802" s="1609"/>
      <c r="EH802" s="1609"/>
      <c r="EI802" s="1610"/>
      <c r="EJ802" s="1608">
        <f t="shared" si="52"/>
        <v>0</v>
      </c>
      <c r="EK802" s="1609"/>
      <c r="EL802" s="1609"/>
      <c r="EM802" s="1609"/>
      <c r="EN802" s="1610"/>
      <c r="EO802" s="1608">
        <f t="shared" si="53"/>
        <v>0</v>
      </c>
      <c r="EP802" s="1609"/>
      <c r="EQ802" s="1609"/>
      <c r="ER802" s="1609"/>
      <c r="ES802" s="1610"/>
      <c r="ET802" s="1608">
        <f t="shared" si="54"/>
        <v>0</v>
      </c>
      <c r="EU802" s="1609"/>
      <c r="EV802" s="1609"/>
      <c r="EW802" s="1609"/>
      <c r="EX802" s="1610"/>
    </row>
    <row r="803" spans="1:154" s="14" customFormat="1" ht="12.9" customHeight="1">
      <c r="A803"/>
      <c r="B803"/>
      <c r="C803"/>
      <c r="D803"/>
      <c r="E803"/>
      <c r="F803"/>
      <c r="G803"/>
      <c r="H803"/>
      <c r="I803"/>
      <c r="J803" s="1448"/>
      <c r="K803" s="1449"/>
      <c r="L803" s="1449"/>
      <c r="M803" s="1449"/>
      <c r="N803" s="1450"/>
      <c r="O803" s="1733"/>
      <c r="P803" s="1733"/>
      <c r="Q803" s="1733"/>
      <c r="R803" s="1733"/>
      <c r="S803" s="1733"/>
      <c r="T803" s="1445"/>
      <c r="U803" s="1446"/>
      <c r="V803" s="1446"/>
      <c r="W803" s="1447"/>
      <c r="X803" s="1476"/>
      <c r="Y803" s="1477"/>
      <c r="Z803" s="1477"/>
      <c r="AA803" s="1477"/>
      <c r="AB803" s="1478"/>
      <c r="AC803" s="1479">
        <f t="shared" si="42"/>
        <v>0</v>
      </c>
      <c r="AD803" s="1480"/>
      <c r="AE803" s="1480"/>
      <c r="AF803" s="1480"/>
      <c r="AG803" s="1481"/>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608">
        <f t="shared" si="43"/>
        <v>0</v>
      </c>
      <c r="CQ803" s="1609"/>
      <c r="CR803" s="1609"/>
      <c r="CS803" s="1609"/>
      <c r="CT803" s="1610"/>
      <c r="CU803" s="1608">
        <f t="shared" si="44"/>
        <v>0</v>
      </c>
      <c r="CV803" s="1609"/>
      <c r="CW803" s="1609"/>
      <c r="CX803" s="1609"/>
      <c r="CY803" s="1610"/>
      <c r="CZ803" s="1608">
        <f t="shared" si="45"/>
        <v>0</v>
      </c>
      <c r="DA803" s="1609"/>
      <c r="DB803" s="1609"/>
      <c r="DC803" s="1609"/>
      <c r="DD803" s="1610"/>
      <c r="DE803" s="1608">
        <f t="shared" si="46"/>
        <v>0</v>
      </c>
      <c r="DF803" s="1609"/>
      <c r="DG803" s="1609"/>
      <c r="DH803" s="1609"/>
      <c r="DI803" s="1610"/>
      <c r="DJ803" s="1608">
        <f t="shared" si="47"/>
        <v>0</v>
      </c>
      <c r="DK803" s="1609"/>
      <c r="DL803" s="1609"/>
      <c r="DM803" s="1609"/>
      <c r="DN803" s="1610"/>
      <c r="DO803" s="1608">
        <f t="shared" si="48"/>
        <v>0</v>
      </c>
      <c r="DP803" s="1609"/>
      <c r="DQ803" s="1609"/>
      <c r="DR803" s="1609"/>
      <c r="DS803" s="1610"/>
      <c r="DT803" s="6"/>
      <c r="DU803" s="1608">
        <f t="shared" si="49"/>
        <v>0</v>
      </c>
      <c r="DV803" s="1609"/>
      <c r="DW803" s="1609"/>
      <c r="DX803" s="1609"/>
      <c r="DY803" s="1610"/>
      <c r="DZ803" s="1608">
        <f t="shared" si="50"/>
        <v>0</v>
      </c>
      <c r="EA803" s="1609"/>
      <c r="EB803" s="1609"/>
      <c r="EC803" s="1609"/>
      <c r="ED803" s="1610"/>
      <c r="EE803" s="1608">
        <f t="shared" si="51"/>
        <v>0</v>
      </c>
      <c r="EF803" s="1609"/>
      <c r="EG803" s="1609"/>
      <c r="EH803" s="1609"/>
      <c r="EI803" s="1610"/>
      <c r="EJ803" s="1608">
        <f t="shared" si="52"/>
        <v>0</v>
      </c>
      <c r="EK803" s="1609"/>
      <c r="EL803" s="1609"/>
      <c r="EM803" s="1609"/>
      <c r="EN803" s="1610"/>
      <c r="EO803" s="1608">
        <f t="shared" si="53"/>
        <v>0</v>
      </c>
      <c r="EP803" s="1609"/>
      <c r="EQ803" s="1609"/>
      <c r="ER803" s="1609"/>
      <c r="ES803" s="1610"/>
      <c r="ET803" s="1608">
        <f t="shared" si="54"/>
        <v>0</v>
      </c>
      <c r="EU803" s="1609"/>
      <c r="EV803" s="1609"/>
      <c r="EW803" s="1609"/>
      <c r="EX803" s="1610"/>
    </row>
    <row r="804" spans="1:154" s="4" customFormat="1" ht="12.9" customHeight="1">
      <c r="A804"/>
      <c r="B804"/>
      <c r="C804"/>
      <c r="D804"/>
      <c r="E804"/>
      <c r="F804"/>
      <c r="G804"/>
      <c r="H804"/>
      <c r="I804"/>
      <c r="J804" s="1448"/>
      <c r="K804" s="1449"/>
      <c r="L804" s="1449"/>
      <c r="M804" s="1449"/>
      <c r="N804" s="1450"/>
      <c r="O804" s="1733"/>
      <c r="P804" s="1733"/>
      <c r="Q804" s="1733"/>
      <c r="R804" s="1733"/>
      <c r="S804" s="1733"/>
      <c r="T804" s="1445"/>
      <c r="U804" s="1446"/>
      <c r="V804" s="1446"/>
      <c r="W804" s="1447"/>
      <c r="X804" s="1476"/>
      <c r="Y804" s="1477"/>
      <c r="Z804" s="1477"/>
      <c r="AA804" s="1477"/>
      <c r="AB804" s="1478"/>
      <c r="AC804" s="1479">
        <f t="shared" si="42"/>
        <v>0</v>
      </c>
      <c r="AD804" s="1480"/>
      <c r="AE804" s="1480"/>
      <c r="AF804" s="1480"/>
      <c r="AG804" s="1481"/>
      <c r="AH804"/>
      <c r="AI804"/>
      <c r="AJ804"/>
      <c r="AK804"/>
      <c r="AL804"/>
      <c r="AM804"/>
      <c r="AN804"/>
      <c r="AO804"/>
      <c r="AP804"/>
      <c r="AQ804"/>
      <c r="AR804"/>
      <c r="AS804"/>
      <c r="AT804"/>
      <c r="AU804"/>
      <c r="AV804"/>
      <c r="AW804"/>
      <c r="AX804"/>
      <c r="AY804"/>
      <c r="AZ804" s="3"/>
      <c r="CP804" s="1608">
        <f t="shared" si="43"/>
        <v>0</v>
      </c>
      <c r="CQ804" s="1609"/>
      <c r="CR804" s="1609"/>
      <c r="CS804" s="1609"/>
      <c r="CT804" s="1610"/>
      <c r="CU804" s="1608">
        <f t="shared" si="44"/>
        <v>0</v>
      </c>
      <c r="CV804" s="1609"/>
      <c r="CW804" s="1609"/>
      <c r="CX804" s="1609"/>
      <c r="CY804" s="1610"/>
      <c r="CZ804" s="1608">
        <f t="shared" si="45"/>
        <v>0</v>
      </c>
      <c r="DA804" s="1609"/>
      <c r="DB804" s="1609"/>
      <c r="DC804" s="1609"/>
      <c r="DD804" s="1610"/>
      <c r="DE804" s="1608">
        <f t="shared" si="46"/>
        <v>0</v>
      </c>
      <c r="DF804" s="1609"/>
      <c r="DG804" s="1609"/>
      <c r="DH804" s="1609"/>
      <c r="DI804" s="1610"/>
      <c r="DJ804" s="1608">
        <f t="shared" si="47"/>
        <v>0</v>
      </c>
      <c r="DK804" s="1609"/>
      <c r="DL804" s="1609"/>
      <c r="DM804" s="1609"/>
      <c r="DN804" s="1610"/>
      <c r="DO804" s="1608">
        <f t="shared" si="48"/>
        <v>0</v>
      </c>
      <c r="DP804" s="1609"/>
      <c r="DQ804" s="1609"/>
      <c r="DR804" s="1609"/>
      <c r="DS804" s="1610"/>
      <c r="DT804" s="6"/>
      <c r="DU804" s="1608">
        <f t="shared" si="49"/>
        <v>0</v>
      </c>
      <c r="DV804" s="1609"/>
      <c r="DW804" s="1609"/>
      <c r="DX804" s="1609"/>
      <c r="DY804" s="1610"/>
      <c r="DZ804" s="1608">
        <f t="shared" si="50"/>
        <v>0</v>
      </c>
      <c r="EA804" s="1609"/>
      <c r="EB804" s="1609"/>
      <c r="EC804" s="1609"/>
      <c r="ED804" s="1610"/>
      <c r="EE804" s="1608">
        <f t="shared" si="51"/>
        <v>0</v>
      </c>
      <c r="EF804" s="1609"/>
      <c r="EG804" s="1609"/>
      <c r="EH804" s="1609"/>
      <c r="EI804" s="1610"/>
      <c r="EJ804" s="1608">
        <f t="shared" si="52"/>
        <v>0</v>
      </c>
      <c r="EK804" s="1609"/>
      <c r="EL804" s="1609"/>
      <c r="EM804" s="1609"/>
      <c r="EN804" s="1610"/>
      <c r="EO804" s="1608">
        <f t="shared" si="53"/>
        <v>0</v>
      </c>
      <c r="EP804" s="1609"/>
      <c r="EQ804" s="1609"/>
      <c r="ER804" s="1609"/>
      <c r="ES804" s="1610"/>
      <c r="ET804" s="1608">
        <f t="shared" si="54"/>
        <v>0</v>
      </c>
      <c r="EU804" s="1609"/>
      <c r="EV804" s="1609"/>
      <c r="EW804" s="1609"/>
      <c r="EX804" s="1610"/>
    </row>
    <row r="805" spans="1:154" s="4" customFormat="1" ht="12.9" customHeight="1">
      <c r="A805"/>
      <c r="B805"/>
      <c r="C805"/>
      <c r="D805"/>
      <c r="E805"/>
      <c r="F805"/>
      <c r="G805"/>
      <c r="H805"/>
      <c r="I805"/>
      <c r="J805" s="1586" t="s">
        <v>125</v>
      </c>
      <c r="K805" s="1587"/>
      <c r="L805" s="1587"/>
      <c r="M805" s="1587"/>
      <c r="N805" s="1588"/>
      <c r="O805" s="1826">
        <f>SUM(O795:S804)</f>
        <v>0</v>
      </c>
      <c r="P805" s="1826"/>
      <c r="Q805" s="1826"/>
      <c r="R805" s="1826"/>
      <c r="S805" s="1826"/>
      <c r="T805"/>
      <c r="U805"/>
      <c r="V805"/>
      <c r="W805"/>
      <c r="X805" s="893" t="s">
        <v>124</v>
      </c>
      <c r="Y805" s="11"/>
      <c r="Z805" s="11"/>
      <c r="AA805" s="11"/>
      <c r="AB805" s="900"/>
      <c r="AC805" s="1479">
        <f>SUM(AC795:AG804)</f>
        <v>0</v>
      </c>
      <c r="AD805" s="1480"/>
      <c r="AE805" s="1480"/>
      <c r="AF805" s="1480"/>
      <c r="AG805" s="1481"/>
      <c r="AH805"/>
      <c r="AI805"/>
      <c r="AJ805"/>
      <c r="AK805"/>
      <c r="AL805"/>
      <c r="AM805"/>
      <c r="AN805"/>
      <c r="AO805"/>
      <c r="AP805"/>
      <c r="AQ805"/>
      <c r="AR805"/>
      <c r="AS805"/>
      <c r="AT805"/>
      <c r="AU805"/>
      <c r="AV805"/>
      <c r="AW805"/>
      <c r="AX805"/>
      <c r="AY805"/>
      <c r="AZ805" s="3"/>
      <c r="BA805"/>
      <c r="CP805" s="1600">
        <f>SUM(CP795:CT804)</f>
        <v>0</v>
      </c>
      <c r="CQ805" s="1612"/>
      <c r="CR805" s="1612"/>
      <c r="CS805" s="1612"/>
      <c r="CT805" s="1601"/>
      <c r="CU805" s="1602">
        <f>SUM(CU795:CY804)</f>
        <v>0</v>
      </c>
      <c r="CV805" s="1603"/>
      <c r="CW805" s="1603"/>
      <c r="CX805" s="1603"/>
      <c r="CY805" s="1604"/>
      <c r="CZ805" s="1602">
        <f>SUM(CZ795:DD804)</f>
        <v>0</v>
      </c>
      <c r="DA805" s="1603"/>
      <c r="DB805" s="1603"/>
      <c r="DC805" s="1603"/>
      <c r="DD805" s="1604"/>
      <c r="DE805" s="1602">
        <f>SUM(DE795:DI804)</f>
        <v>0</v>
      </c>
      <c r="DF805" s="1603"/>
      <c r="DG805" s="1603"/>
      <c r="DH805" s="1603"/>
      <c r="DI805" s="1604"/>
      <c r="DJ805" s="1602">
        <f>SUM(DJ795:DN804)</f>
        <v>0</v>
      </c>
      <c r="DK805" s="1603"/>
      <c r="DL805" s="1603"/>
      <c r="DM805" s="1603"/>
      <c r="DN805" s="1604"/>
      <c r="DO805" s="1602">
        <f>SUM(DO795:DS804)</f>
        <v>0</v>
      </c>
      <c r="DP805" s="1603"/>
      <c r="DQ805" s="1603"/>
      <c r="DR805" s="1603"/>
      <c r="DS805" s="1604"/>
      <c r="DT805" s="1002"/>
      <c r="DU805" s="1600">
        <f>SUM(DU795:DY804)</f>
        <v>0</v>
      </c>
      <c r="DV805" s="1612"/>
      <c r="DW805" s="1612"/>
      <c r="DX805" s="1612"/>
      <c r="DY805" s="1601"/>
      <c r="DZ805" s="1600">
        <f>SUM(DZ795:ED804)</f>
        <v>0</v>
      </c>
      <c r="EA805" s="1612"/>
      <c r="EB805" s="1612"/>
      <c r="EC805" s="1612"/>
      <c r="ED805" s="1601"/>
      <c r="EE805" s="1600">
        <f>SUM(EE795:EI804)</f>
        <v>0</v>
      </c>
      <c r="EF805" s="1612"/>
      <c r="EG805" s="1612"/>
      <c r="EH805" s="1612"/>
      <c r="EI805" s="1601"/>
      <c r="EJ805" s="1600">
        <f>SUM(EJ795:EN804)</f>
        <v>0</v>
      </c>
      <c r="EK805" s="1612"/>
      <c r="EL805" s="1612"/>
      <c r="EM805" s="1612"/>
      <c r="EN805" s="1601"/>
      <c r="EO805" s="1600">
        <f>SUM(EO795:ES804)</f>
        <v>0</v>
      </c>
      <c r="EP805" s="1612"/>
      <c r="EQ805" s="1612"/>
      <c r="ER805" s="1612"/>
      <c r="ES805" s="1601"/>
      <c r="ET805" s="1600">
        <f>SUM(ET795:EX804)</f>
        <v>0</v>
      </c>
      <c r="EU805" s="1612"/>
      <c r="EV805" s="1612"/>
      <c r="EW805" s="1612"/>
      <c r="EX805" s="1601"/>
    </row>
    <row r="806" spans="1:154" s="4" customFormat="1" ht="12.9" customHeight="1">
      <c r="A806"/>
      <c r="B806"/>
      <c r="C806" s="1827" t="str">
        <f>IF(O805&lt;&gt;AG447,"! Total market rate units in the Unit Mix Table above does not match the number of  market rate units on row #"&amp;TEXT(ROW(D447),"#"),"")</f>
        <v/>
      </c>
      <c r="D806" s="1827"/>
      <c r="E806" s="1827"/>
      <c r="F806" s="1827"/>
      <c r="G806" s="1827"/>
      <c r="H806" s="1827"/>
      <c r="I806" s="1827"/>
      <c r="J806" s="1827"/>
      <c r="K806" s="1827"/>
      <c r="L806" s="1827"/>
      <c r="M806" s="1827"/>
      <c r="N806" s="1827"/>
      <c r="O806" s="1827"/>
      <c r="P806" s="1827"/>
      <c r="Q806" s="1827"/>
      <c r="R806" s="1827"/>
      <c r="S806" s="1827"/>
      <c r="T806" s="1827"/>
      <c r="U806" s="1827"/>
      <c r="V806" s="1827"/>
      <c r="W806" s="1827"/>
      <c r="X806" s="1827"/>
      <c r="Y806" s="1827"/>
      <c r="Z806" s="1827"/>
      <c r="AA806" s="1827"/>
      <c r="AB806" s="1827"/>
      <c r="AC806" s="1827"/>
      <c r="AD806" s="1827"/>
      <c r="AE806" s="1827"/>
      <c r="AF806" s="1827"/>
      <c r="AG806" s="1827"/>
      <c r="AH806" s="1827"/>
      <c r="AI806" s="1827"/>
      <c r="AJ806" s="1827"/>
      <c r="AK806" s="1827"/>
      <c r="AL806" s="1827"/>
      <c r="AM806" s="1827"/>
      <c r="AN806" s="1827"/>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 customHeight="1">
      <c r="A807"/>
      <c r="B807"/>
      <c r="C807" s="1827"/>
      <c r="D807" s="1827"/>
      <c r="E807" s="1827"/>
      <c r="F807" s="1827"/>
      <c r="G807" s="1827"/>
      <c r="H807" s="1827"/>
      <c r="I807" s="1827"/>
      <c r="J807" s="1827"/>
      <c r="K807" s="1827"/>
      <c r="L807" s="1827"/>
      <c r="M807" s="1827"/>
      <c r="N807" s="1827"/>
      <c r="O807" s="1827"/>
      <c r="P807" s="1827"/>
      <c r="Q807" s="1827"/>
      <c r="R807" s="1827"/>
      <c r="S807" s="1827"/>
      <c r="T807" s="1827"/>
      <c r="U807" s="1827"/>
      <c r="V807" s="1827"/>
      <c r="W807" s="1827"/>
      <c r="X807" s="1827"/>
      <c r="Y807" s="1827"/>
      <c r="Z807" s="1827"/>
      <c r="AA807" s="1827"/>
      <c r="AB807" s="1827"/>
      <c r="AC807" s="1827"/>
      <c r="AD807" s="1827"/>
      <c r="AE807" s="1827"/>
      <c r="AF807" s="1827"/>
      <c r="AG807" s="1827"/>
      <c r="AH807" s="1827"/>
      <c r="AI807" s="1827"/>
      <c r="AJ807" s="1827"/>
      <c r="AK807" s="1827"/>
      <c r="AL807" s="1827"/>
      <c r="AM807" s="1827"/>
      <c r="AN807" s="1827"/>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943">
        <f>SUM(DU805:EX805)</f>
        <v>0</v>
      </c>
      <c r="EU807" s="1944"/>
      <c r="EV807" s="1944"/>
      <c r="EW807" s="1944"/>
      <c r="EX807" s="1945"/>
    </row>
    <row r="808" spans="1:154" s="4" customFormat="1" ht="12.9" customHeight="1">
      <c r="A808"/>
      <c r="B808"/>
      <c r="C808"/>
      <c r="D808"/>
      <c r="E808"/>
      <c r="F808"/>
      <c r="G808"/>
      <c r="H808"/>
      <c r="I808"/>
      <c r="J808" s="45"/>
      <c r="K808" s="5"/>
      <c r="L808" s="5"/>
      <c r="M808" s="5"/>
      <c r="N808" s="5"/>
      <c r="O808" s="5"/>
      <c r="P808" s="5"/>
      <c r="Q808" s="5"/>
      <c r="R808" s="5"/>
      <c r="S808" s="5"/>
      <c r="T808" s="5"/>
      <c r="U808" s="5"/>
      <c r="V808" s="5"/>
      <c r="W808" s="5"/>
      <c r="X808" s="54" t="s">
        <v>161</v>
      </c>
      <c r="Y808" s="1762">
        <f>O761+AC785+AC805</f>
        <v>292453</v>
      </c>
      <c r="Z808" s="1762"/>
      <c r="AA808" s="1762"/>
      <c r="AB808" s="1762"/>
      <c r="AC808" s="1762"/>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762">
        <f>(O761+AC785+AC805)*12</f>
        <v>3509436</v>
      </c>
      <c r="Z809" s="1762"/>
      <c r="AA809" s="1762"/>
      <c r="AB809" s="1762"/>
      <c r="AC809" s="1762"/>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602">
        <f>CP761+CP785+CP805</f>
        <v>0</v>
      </c>
      <c r="CQ810" s="1603"/>
      <c r="CR810" s="1603"/>
      <c r="CS810" s="1603"/>
      <c r="CT810" s="1604"/>
      <c r="CU810" s="1602">
        <f>CU761+CU785+CU805</f>
        <v>15</v>
      </c>
      <c r="CV810" s="1603"/>
      <c r="CW810" s="1603"/>
      <c r="CX810" s="1603"/>
      <c r="CY810" s="1604"/>
      <c r="CZ810" s="1602">
        <f>CZ761+CZ785+CZ805</f>
        <v>44</v>
      </c>
      <c r="DA810" s="1603"/>
      <c r="DB810" s="1603"/>
      <c r="DC810" s="1603"/>
      <c r="DD810" s="1604"/>
      <c r="DE810" s="1602">
        <f>DE761+DE785+DE805</f>
        <v>54</v>
      </c>
      <c r="DF810" s="1603"/>
      <c r="DG810" s="1603"/>
      <c r="DH810" s="1603"/>
      <c r="DI810" s="1604"/>
      <c r="DJ810" s="1602">
        <f>DJ761+DJ785+DJ805</f>
        <v>0</v>
      </c>
      <c r="DK810" s="1603"/>
      <c r="DL810" s="1603"/>
      <c r="DM810" s="1603"/>
      <c r="DN810" s="1604"/>
      <c r="DO810" s="1606">
        <f>DO805+DO785+DO761</f>
        <v>0</v>
      </c>
      <c r="DP810" s="1611"/>
      <c r="DQ810" s="1611"/>
      <c r="DR810" s="1611"/>
      <c r="DS810" s="1607"/>
      <c r="DT810" s="3"/>
      <c r="DU810" s="852">
        <f>DU763+DU808</f>
        <v>262</v>
      </c>
      <c r="DV810" s="57" t="s">
        <v>1830</v>
      </c>
    </row>
    <row r="811" spans="1:154" s="4" customFormat="1" ht="12.9" customHeight="1">
      <c r="A811" s="2" t="s">
        <v>587</v>
      </c>
      <c r="B811" s="2"/>
      <c r="C811" s="2" t="s">
        <v>610</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 customHeight="1">
      <c r="A812" s="2"/>
      <c r="B812" s="2"/>
      <c r="C812" s="2" t="s">
        <v>914</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724"/>
      <c r="AA814" s="1725"/>
      <c r="AB814" s="1725"/>
      <c r="AC814" s="1725"/>
      <c r="AD814" s="1725"/>
      <c r="AE814" s="1726"/>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828"/>
      <c r="AA815" s="1725"/>
      <c r="AB815" s="1725"/>
      <c r="AC815" s="1725"/>
      <c r="AD815" s="1725"/>
      <c r="AE815" s="1726"/>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815">
        <v>0</v>
      </c>
      <c r="AA816" s="1684"/>
      <c r="AB816" s="1684"/>
      <c r="AC816" s="1684"/>
      <c r="AD816" s="1684"/>
      <c r="AE816" s="1685"/>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40">
        <f>'Subsidy Contract Calculation'!J40</f>
        <v>0</v>
      </c>
      <c r="AA817" s="1541"/>
      <c r="AB817" s="1541"/>
      <c r="AC817" s="1541"/>
      <c r="AD817" s="1541"/>
      <c r="AE817" s="1542"/>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 customHeight="1">
      <c r="A819" s="2" t="s">
        <v>588</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30">
        <v>16272</v>
      </c>
      <c r="AA821" s="1531"/>
      <c r="AB821" s="1531"/>
      <c r="AC821" s="1531"/>
      <c r="AD821" s="1531"/>
      <c r="AE821" s="153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30"/>
      <c r="AA822" s="1531"/>
      <c r="AB822" s="1531"/>
      <c r="AC822" s="1531"/>
      <c r="AD822" s="1531"/>
      <c r="AE822" s="153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30"/>
      <c r="AA823" s="1531"/>
      <c r="AB823" s="1531"/>
      <c r="AC823" s="1531"/>
      <c r="AD823" s="1531"/>
      <c r="AE823" s="153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 customHeight="1">
      <c r="A824"/>
      <c r="B824"/>
      <c r="C824"/>
      <c r="D824"/>
      <c r="E824"/>
      <c r="F824"/>
      <c r="G824"/>
      <c r="H824" s="45" t="s">
        <v>39</v>
      </c>
      <c r="I824" s="5"/>
      <c r="J824" s="5"/>
      <c r="K824" s="5"/>
      <c r="L824" s="5"/>
      <c r="M824" s="5"/>
      <c r="N824" s="5"/>
      <c r="O824" s="5"/>
      <c r="P824" s="1686" t="s">
        <v>2784</v>
      </c>
      <c r="Q824" s="1727"/>
      <c r="R824" s="1727"/>
      <c r="S824" s="1727"/>
      <c r="T824" s="1727"/>
      <c r="U824" s="1727"/>
      <c r="V824" s="1727"/>
      <c r="W824" s="1727"/>
      <c r="X824" s="1727"/>
      <c r="Y824" s="1728"/>
      <c r="Z824" s="1530">
        <v>5424</v>
      </c>
      <c r="AA824" s="1531"/>
      <c r="AB824" s="1531"/>
      <c r="AC824" s="1531"/>
      <c r="AD824" s="1531"/>
      <c r="AE824" s="153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40">
        <f>SUM(Z821:AE824)</f>
        <v>21696</v>
      </c>
      <c r="AA825" s="1541"/>
      <c r="AB825" s="1541"/>
      <c r="AC825" s="1541"/>
      <c r="AD825" s="1541"/>
      <c r="AE825" s="1542"/>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 customHeight="1">
      <c r="A826"/>
      <c r="B826"/>
      <c r="C826"/>
      <c r="D826"/>
      <c r="E826"/>
      <c r="F826"/>
      <c r="G826"/>
      <c r="H826" s="45"/>
      <c r="I826" s="5"/>
      <c r="J826" s="5"/>
      <c r="K826" s="5"/>
      <c r="L826" s="5"/>
      <c r="M826" s="5"/>
      <c r="N826" s="5"/>
      <c r="O826" s="5"/>
      <c r="P826" s="5"/>
      <c r="Q826" s="5"/>
      <c r="R826" s="5"/>
      <c r="S826" s="5"/>
      <c r="T826" s="5"/>
      <c r="U826" s="5"/>
      <c r="V826" s="5"/>
      <c r="W826" s="5"/>
      <c r="X826" s="5"/>
      <c r="Y826" s="53" t="s">
        <v>642</v>
      </c>
      <c r="Z826" s="1540">
        <f>Z825+Y809+Z817</f>
        <v>3531132</v>
      </c>
      <c r="AA826" s="1541"/>
      <c r="AB826" s="1541"/>
      <c r="AC826" s="1541"/>
      <c r="AD826" s="1541"/>
      <c r="AE826" s="1542"/>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 customHeight="1">
      <c r="A828" s="2" t="s">
        <v>590</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 customHeight="1">
      <c r="A829"/>
      <c r="B829"/>
      <c r="C829" s="22" t="s">
        <v>815</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 customHeight="1">
      <c r="A831"/>
      <c r="B831"/>
      <c r="C831" s="41"/>
      <c r="D831" s="42"/>
      <c r="E831" s="42"/>
      <c r="F831" s="42"/>
      <c r="G831" s="42"/>
      <c r="H831" s="42"/>
      <c r="I831" s="42"/>
      <c r="J831" s="42"/>
      <c r="K831" s="42"/>
      <c r="L831" s="58"/>
      <c r="M831" s="1706" t="s">
        <v>126</v>
      </c>
      <c r="N831" s="1706"/>
      <c r="O831" s="1706"/>
      <c r="P831" s="1758"/>
      <c r="Q831" s="1772" t="s">
        <v>290</v>
      </c>
      <c r="R831" s="1772"/>
      <c r="S831" s="1772"/>
      <c r="T831" s="1772"/>
      <c r="U831" s="1772" t="s">
        <v>291</v>
      </c>
      <c r="V831" s="1772"/>
      <c r="W831" s="1772"/>
      <c r="X831" s="1772"/>
      <c r="Y831" s="1772" t="s">
        <v>292</v>
      </c>
      <c r="Z831" s="1772"/>
      <c r="AA831" s="1772"/>
      <c r="AB831" s="1772"/>
      <c r="AC831" s="1772" t="s">
        <v>361</v>
      </c>
      <c r="AD831" s="1772"/>
      <c r="AE831" s="1772"/>
      <c r="AF831" s="1772"/>
      <c r="AG831" s="1814" t="s">
        <v>335</v>
      </c>
      <c r="AH831" s="1814"/>
      <c r="AI831" s="1814"/>
      <c r="AJ831" s="1814"/>
      <c r="AK831"/>
      <c r="AL831" s="3"/>
      <c r="AM831" s="3"/>
      <c r="AN831" s="3"/>
      <c r="AO831" s="3"/>
      <c r="AP831" s="3"/>
      <c r="AQ831" s="3"/>
      <c r="AR831" s="3"/>
      <c r="AS831" s="3"/>
      <c r="AT831" s="3"/>
      <c r="AU831" s="3"/>
      <c r="AV831" s="3"/>
      <c r="AW831" s="3"/>
      <c r="AX831" s="3"/>
      <c r="AY831" s="3"/>
      <c r="AZ831" s="30"/>
      <c r="BA831" s="30"/>
      <c r="BB831" s="14"/>
      <c r="BC831" s="14"/>
    </row>
    <row r="832" spans="1:110" s="14" customFormat="1" ht="12.9" customHeight="1">
      <c r="A832"/>
      <c r="B832"/>
      <c r="C832" s="47"/>
      <c r="D832" s="48"/>
      <c r="E832" s="48"/>
      <c r="F832" s="48"/>
      <c r="G832" s="48"/>
      <c r="H832" s="48"/>
      <c r="I832" s="48"/>
      <c r="J832" s="48"/>
      <c r="K832" s="48"/>
      <c r="L832" s="49"/>
      <c r="M832" s="1710"/>
      <c r="N832" s="1710"/>
      <c r="O832" s="1710"/>
      <c r="P832" s="1723"/>
      <c r="Q832" s="1772"/>
      <c r="R832" s="1772"/>
      <c r="S832" s="1772"/>
      <c r="T832" s="1772"/>
      <c r="U832" s="1772"/>
      <c r="V832" s="1772"/>
      <c r="W832" s="1772"/>
      <c r="X832" s="1772"/>
      <c r="Y832" s="1772"/>
      <c r="Z832" s="1772"/>
      <c r="AA832" s="1772"/>
      <c r="AB832" s="1772"/>
      <c r="AC832" s="1772"/>
      <c r="AD832" s="1772"/>
      <c r="AE832" s="1772"/>
      <c r="AF832" s="1772"/>
      <c r="AG832" s="1814"/>
      <c r="AH832" s="1814"/>
      <c r="AI832" s="1814"/>
      <c r="AJ832" s="1814"/>
      <c r="AK832"/>
      <c r="AL832" s="3"/>
      <c r="AM832" s="3"/>
      <c r="AN832" s="3"/>
      <c r="AO832" s="3"/>
      <c r="AP832" s="3"/>
      <c r="AQ832" s="3"/>
      <c r="AR832" s="3"/>
      <c r="AS832" s="3"/>
      <c r="AT832" s="3"/>
      <c r="AU832"/>
      <c r="AV832" s="3"/>
      <c r="AW832" s="3"/>
      <c r="AX832" s="3"/>
      <c r="AY832" s="3"/>
      <c r="AZ832" s="30"/>
      <c r="BA832" s="30"/>
    </row>
    <row r="833" spans="1:53" s="14" customFormat="1" ht="12.9" customHeight="1">
      <c r="A833"/>
      <c r="B833"/>
      <c r="C833" s="1689" t="s">
        <v>40</v>
      </c>
      <c r="D833" s="1512"/>
      <c r="E833" s="1512"/>
      <c r="F833" s="1512"/>
      <c r="G833" s="1512"/>
      <c r="H833" s="1512"/>
      <c r="I833" s="48"/>
      <c r="J833" s="48"/>
      <c r="K833" s="48"/>
      <c r="L833" s="49"/>
      <c r="M833" s="1739"/>
      <c r="N833" s="1739"/>
      <c r="O833" s="1739"/>
      <c r="P833" s="1739"/>
      <c r="Q833" s="1739">
        <v>19</v>
      </c>
      <c r="R833" s="1739"/>
      <c r="S833" s="1739"/>
      <c r="T833" s="1739"/>
      <c r="U833" s="1739">
        <v>23</v>
      </c>
      <c r="V833" s="1739"/>
      <c r="W833" s="1739"/>
      <c r="X833" s="1739"/>
      <c r="Y833" s="1739">
        <v>28</v>
      </c>
      <c r="Z833" s="1739"/>
      <c r="AA833" s="1739"/>
      <c r="AB833" s="1739"/>
      <c r="AC833" s="1763"/>
      <c r="AD833" s="1764"/>
      <c r="AE833" s="1764"/>
      <c r="AF833" s="1765"/>
      <c r="AG833" s="1763"/>
      <c r="AH833" s="1764"/>
      <c r="AI833" s="1764"/>
      <c r="AJ833" s="1765"/>
      <c r="AK833"/>
      <c r="AL833" s="3"/>
      <c r="AM833" s="3"/>
      <c r="AN833" s="3"/>
      <c r="AO833" s="3"/>
      <c r="AP833" s="3"/>
      <c r="AQ833" s="3"/>
      <c r="AR833" s="3"/>
      <c r="AS833" s="3"/>
      <c r="AT833" s="3"/>
      <c r="AU833"/>
      <c r="AV833" s="3"/>
      <c r="AW833" s="3"/>
      <c r="AX833" s="3"/>
      <c r="AY833" s="3"/>
      <c r="AZ833" s="30"/>
      <c r="BA833" s="30"/>
    </row>
    <row r="834" spans="1:53" s="14" customFormat="1" ht="12.9" customHeight="1">
      <c r="A834"/>
      <c r="B834"/>
      <c r="C834" s="1761" t="s">
        <v>41</v>
      </c>
      <c r="D834" s="1760"/>
      <c r="E834" s="1760"/>
      <c r="F834" s="1760"/>
      <c r="G834" s="1760"/>
      <c r="H834" s="1760"/>
      <c r="I834" s="5"/>
      <c r="J834" s="5"/>
      <c r="K834" s="5"/>
      <c r="L834" s="46"/>
      <c r="M834" s="1739"/>
      <c r="N834" s="1739"/>
      <c r="O834" s="1739"/>
      <c r="P834" s="1739"/>
      <c r="Q834" s="1739"/>
      <c r="R834" s="1739"/>
      <c r="S834" s="1739"/>
      <c r="T834" s="1739"/>
      <c r="U834" s="1739"/>
      <c r="V834" s="1739"/>
      <c r="W834" s="1739"/>
      <c r="X834" s="1739"/>
      <c r="Y834" s="1739"/>
      <c r="Z834" s="1739"/>
      <c r="AA834" s="1739"/>
      <c r="AB834" s="1739"/>
      <c r="AC834" s="1763"/>
      <c r="AD834" s="1764"/>
      <c r="AE834" s="1764"/>
      <c r="AF834" s="1765"/>
      <c r="AG834" s="1763"/>
      <c r="AH834" s="1764"/>
      <c r="AI834" s="1764"/>
      <c r="AJ834" s="1765"/>
      <c r="AK834"/>
      <c r="AL834" s="3"/>
      <c r="AM834" s="3"/>
      <c r="AN834" s="3"/>
      <c r="AO834" s="3"/>
      <c r="AP834" s="3"/>
      <c r="AQ834" s="3"/>
      <c r="AR834" s="3"/>
      <c r="AS834" s="3"/>
      <c r="AT834" s="3"/>
      <c r="AU834"/>
      <c r="AV834" s="3"/>
      <c r="AW834" s="3"/>
      <c r="AX834" s="3"/>
      <c r="AY834" s="3"/>
      <c r="AZ834" s="30"/>
      <c r="BA834" s="30"/>
    </row>
    <row r="835" spans="1:53" s="14" customFormat="1" ht="12.9" customHeight="1">
      <c r="A835"/>
      <c r="B835"/>
      <c r="C835" s="1761" t="s">
        <v>42</v>
      </c>
      <c r="D835" s="1760"/>
      <c r="E835" s="1760"/>
      <c r="F835" s="1760"/>
      <c r="G835" s="1760"/>
      <c r="H835" s="1760"/>
      <c r="I835" s="60"/>
      <c r="J835" s="60"/>
      <c r="K835" s="60"/>
      <c r="L835" s="61"/>
      <c r="M835" s="1739"/>
      <c r="N835" s="1739"/>
      <c r="O835" s="1739"/>
      <c r="P835" s="1739"/>
      <c r="Q835" s="1739">
        <v>9</v>
      </c>
      <c r="R835" s="1739"/>
      <c r="S835" s="1739"/>
      <c r="T835" s="1739"/>
      <c r="U835" s="1739">
        <v>14</v>
      </c>
      <c r="V835" s="1739"/>
      <c r="W835" s="1739"/>
      <c r="X835" s="1739"/>
      <c r="Y835" s="1739">
        <v>18</v>
      </c>
      <c r="Z835" s="1739"/>
      <c r="AA835" s="1739"/>
      <c r="AB835" s="1739"/>
      <c r="AC835" s="1763"/>
      <c r="AD835" s="1764"/>
      <c r="AE835" s="1764"/>
      <c r="AF835" s="1765"/>
      <c r="AG835" s="1763"/>
      <c r="AH835" s="1764"/>
      <c r="AI835" s="1764"/>
      <c r="AJ835" s="1765"/>
      <c r="AK835"/>
      <c r="AL835" s="3"/>
      <c r="AM835" s="3"/>
      <c r="AN835" s="3"/>
      <c r="AO835" s="3"/>
      <c r="AP835" s="3"/>
      <c r="AQ835" s="3"/>
      <c r="AR835" s="3"/>
      <c r="AS835" s="3"/>
      <c r="AT835" s="3"/>
      <c r="AU835"/>
      <c r="AV835" s="3"/>
      <c r="AW835" s="3"/>
      <c r="AX835" s="3"/>
      <c r="AY835" s="3"/>
      <c r="AZ835" s="30"/>
      <c r="BA835" s="30"/>
    </row>
    <row r="836" spans="1:53" s="14" customFormat="1" ht="12.9" customHeight="1">
      <c r="A836"/>
      <c r="B836"/>
      <c r="C836" s="1761" t="s">
        <v>760</v>
      </c>
      <c r="D836" s="1760"/>
      <c r="E836" s="1760"/>
      <c r="F836" s="1760"/>
      <c r="G836" s="1760"/>
      <c r="H836" s="1760"/>
      <c r="I836" s="60"/>
      <c r="J836" s="60"/>
      <c r="K836" s="60"/>
      <c r="L836" s="61"/>
      <c r="M836" s="1739"/>
      <c r="N836" s="1739"/>
      <c r="O836" s="1739"/>
      <c r="P836" s="1739"/>
      <c r="Q836" s="1739"/>
      <c r="R836" s="1739"/>
      <c r="S836" s="1739"/>
      <c r="T836" s="1739"/>
      <c r="U836" s="1739"/>
      <c r="V836" s="1739"/>
      <c r="W836" s="1739"/>
      <c r="X836" s="1739"/>
      <c r="Y836" s="1739"/>
      <c r="Z836" s="1739"/>
      <c r="AA836" s="1739"/>
      <c r="AB836" s="1739"/>
      <c r="AC836" s="1763"/>
      <c r="AD836" s="1764"/>
      <c r="AE836" s="1764"/>
      <c r="AF836" s="1765"/>
      <c r="AG836" s="1763"/>
      <c r="AH836" s="1764"/>
      <c r="AI836" s="1764"/>
      <c r="AJ836" s="1765"/>
      <c r="AK836"/>
      <c r="AL836" s="3"/>
      <c r="AM836" s="3"/>
      <c r="AN836" s="3"/>
      <c r="AO836" s="3"/>
      <c r="AP836" s="3"/>
      <c r="AQ836" s="3"/>
      <c r="AR836" s="3"/>
      <c r="AS836" s="3"/>
      <c r="AT836" s="3"/>
      <c r="AU836"/>
      <c r="AV836" s="3"/>
      <c r="AW836" s="3"/>
      <c r="AX836" s="3"/>
      <c r="AY836" s="3"/>
      <c r="AZ836" s="30"/>
      <c r="BA836" s="30"/>
    </row>
    <row r="837" spans="1:53" s="14" customFormat="1" ht="12.9" customHeight="1">
      <c r="A837"/>
      <c r="B837"/>
      <c r="C837" s="1761" t="s">
        <v>457</v>
      </c>
      <c r="D837" s="1760"/>
      <c r="E837" s="1760"/>
      <c r="F837" s="1760"/>
      <c r="G837" s="1760"/>
      <c r="H837" s="1760"/>
      <c r="I837" s="60"/>
      <c r="J837" s="60"/>
      <c r="K837" s="60"/>
      <c r="L837" s="61"/>
      <c r="M837" s="1739"/>
      <c r="N837" s="1739"/>
      <c r="O837" s="1739"/>
      <c r="P837" s="1739"/>
      <c r="Q837" s="1739">
        <v>34</v>
      </c>
      <c r="R837" s="1739"/>
      <c r="S837" s="1739"/>
      <c r="T837" s="1739"/>
      <c r="U837" s="1739">
        <v>47</v>
      </c>
      <c r="V837" s="1739"/>
      <c r="W837" s="1739"/>
      <c r="X837" s="1739"/>
      <c r="Y837" s="1739">
        <v>61</v>
      </c>
      <c r="Z837" s="1739"/>
      <c r="AA837" s="1739"/>
      <c r="AB837" s="1739"/>
      <c r="AC837" s="1763"/>
      <c r="AD837" s="1764"/>
      <c r="AE837" s="1764"/>
      <c r="AF837" s="1765"/>
      <c r="AG837" s="1763"/>
      <c r="AH837" s="1764"/>
      <c r="AI837" s="1764"/>
      <c r="AJ837" s="1765"/>
      <c r="AK837"/>
      <c r="AL837" s="3"/>
      <c r="AM837" s="3"/>
      <c r="AN837" s="3"/>
      <c r="AO837" s="3"/>
      <c r="AP837" s="3"/>
      <c r="AQ837" s="3"/>
      <c r="AR837" s="3"/>
      <c r="AS837" s="3"/>
      <c r="AT837" s="3"/>
      <c r="AU837"/>
      <c r="AV837" s="3"/>
      <c r="AW837" s="3"/>
      <c r="AX837" s="3"/>
      <c r="AY837" s="3"/>
      <c r="AZ837" s="30"/>
      <c r="BA837" s="30"/>
    </row>
    <row r="838" spans="1:53" s="14" customFormat="1" ht="12.9" customHeight="1">
      <c r="A838"/>
      <c r="B838"/>
      <c r="C838" s="1759" t="s">
        <v>781</v>
      </c>
      <c r="D838" s="1760"/>
      <c r="E838" s="1760"/>
      <c r="F838" s="1760"/>
      <c r="G838" s="1760"/>
      <c r="H838" s="1760"/>
      <c r="I838" s="60"/>
      <c r="J838" s="60"/>
      <c r="K838" s="60"/>
      <c r="L838" s="61"/>
      <c r="M838" s="1739"/>
      <c r="N838" s="1739"/>
      <c r="O838" s="1739"/>
      <c r="P838" s="1739"/>
      <c r="Q838" s="1739"/>
      <c r="R838" s="1739"/>
      <c r="S838" s="1739"/>
      <c r="T838" s="1739"/>
      <c r="U838" s="1739"/>
      <c r="V838" s="1739"/>
      <c r="W838" s="1739"/>
      <c r="X838" s="1739"/>
      <c r="Y838" s="1739"/>
      <c r="Z838" s="1739"/>
      <c r="AA838" s="1739"/>
      <c r="AB838" s="1739"/>
      <c r="AC838" s="1763"/>
      <c r="AD838" s="1764"/>
      <c r="AE838" s="1764"/>
      <c r="AF838" s="1765"/>
      <c r="AG838" s="1763"/>
      <c r="AH838" s="1764"/>
      <c r="AI838" s="1764"/>
      <c r="AJ838" s="1765"/>
      <c r="AK838"/>
      <c r="AL838" s="3"/>
      <c r="AM838" s="3"/>
      <c r="AN838" s="3"/>
      <c r="AO838" s="3"/>
      <c r="AP838" s="3"/>
      <c r="AQ838" s="3"/>
      <c r="AR838" s="3"/>
      <c r="AS838" s="3"/>
      <c r="AT838" s="3"/>
      <c r="AU838"/>
      <c r="AV838" s="3"/>
      <c r="AW838" s="3"/>
      <c r="AX838" s="3"/>
      <c r="AY838" s="3"/>
      <c r="AZ838" s="30"/>
      <c r="BA838" s="30"/>
    </row>
    <row r="839" spans="1:53" s="14" customFormat="1" ht="12.9" customHeight="1">
      <c r="A839"/>
      <c r="B839"/>
      <c r="C839" s="59" t="s">
        <v>293</v>
      </c>
      <c r="D839" s="60"/>
      <c r="E839" s="60"/>
      <c r="F839" s="1686" t="s">
        <v>334</v>
      </c>
      <c r="G839" s="1727"/>
      <c r="H839" s="1727"/>
      <c r="I839" s="1727"/>
      <c r="J839" s="1727"/>
      <c r="K839" s="1727"/>
      <c r="L839" s="1727"/>
      <c r="M839" s="1739"/>
      <c r="N839" s="1739"/>
      <c r="O839" s="1739"/>
      <c r="P839" s="1739"/>
      <c r="Q839" s="1739"/>
      <c r="R839" s="1739"/>
      <c r="S839" s="1739"/>
      <c r="T839" s="1739"/>
      <c r="U839" s="1739"/>
      <c r="V839" s="1739"/>
      <c r="W839" s="1739"/>
      <c r="X839" s="1739"/>
      <c r="Y839" s="1739"/>
      <c r="Z839" s="1739"/>
      <c r="AA839" s="1739"/>
      <c r="AB839" s="1739"/>
      <c r="AC839" s="1763"/>
      <c r="AD839" s="1764"/>
      <c r="AE839" s="1764"/>
      <c r="AF839" s="1765"/>
      <c r="AG839" s="1763"/>
      <c r="AH839" s="1764"/>
      <c r="AI839" s="1764"/>
      <c r="AJ839" s="1765"/>
      <c r="AK839"/>
      <c r="AL839" s="3"/>
      <c r="AM839" s="3"/>
      <c r="AN839" s="3"/>
      <c r="AO839" s="3"/>
      <c r="AP839" s="3"/>
      <c r="AQ839" s="3"/>
      <c r="AR839" s="3"/>
      <c r="AS839" s="3"/>
      <c r="AT839" s="3"/>
      <c r="AU839"/>
      <c r="AV839" s="3"/>
      <c r="AW839" s="3"/>
      <c r="AX839" s="3"/>
      <c r="AY839" s="3"/>
      <c r="AZ839" s="30"/>
      <c r="BA839" s="30"/>
    </row>
    <row r="840" spans="1:53" s="14" customFormat="1" ht="12.9" customHeight="1">
      <c r="A840"/>
      <c r="B840"/>
      <c r="C840" s="1586" t="s">
        <v>124</v>
      </c>
      <c r="D840" s="1587"/>
      <c r="E840" s="1587"/>
      <c r="F840" s="1587"/>
      <c r="G840" s="1587"/>
      <c r="H840" s="1587"/>
      <c r="I840" s="1587"/>
      <c r="J840" s="1587"/>
      <c r="K840" s="1587"/>
      <c r="L840" s="1588"/>
      <c r="M840" s="1757">
        <f>SUM(M833:P839)</f>
        <v>0</v>
      </c>
      <c r="N840" s="1757"/>
      <c r="O840" s="1757"/>
      <c r="P840" s="1757"/>
      <c r="Q840" s="1757">
        <f>SUM(Q833:T839)</f>
        <v>62</v>
      </c>
      <c r="R840" s="1757"/>
      <c r="S840" s="1757"/>
      <c r="T840" s="1757"/>
      <c r="U840" s="1757">
        <f>SUM(U833:X839)</f>
        <v>84</v>
      </c>
      <c r="V840" s="1757"/>
      <c r="W840" s="1757"/>
      <c r="X840" s="1757"/>
      <c r="Y840" s="1757">
        <f>SUM(Y833:AB839)</f>
        <v>107</v>
      </c>
      <c r="Z840" s="1757"/>
      <c r="AA840" s="1757"/>
      <c r="AB840" s="1757"/>
      <c r="AC840" s="1757">
        <f>SUM(AC833:AF839)</f>
        <v>0</v>
      </c>
      <c r="AD840" s="1757"/>
      <c r="AE840" s="1757"/>
      <c r="AF840" s="1757"/>
      <c r="AG840" s="1757">
        <f>SUM(AG833:AJ839)</f>
        <v>0</v>
      </c>
      <c r="AH840" s="1757"/>
      <c r="AI840" s="1757"/>
      <c r="AJ840" s="1757"/>
      <c r="AK840"/>
      <c r="AL840" s="3"/>
      <c r="AM840" s="3"/>
      <c r="AN840" s="3"/>
      <c r="AO840" s="3"/>
      <c r="AP840" s="3"/>
      <c r="AQ840" s="3"/>
      <c r="AR840" s="3"/>
      <c r="AS840" s="3"/>
      <c r="AT840" s="3"/>
      <c r="AU840"/>
      <c r="AV840" s="3"/>
      <c r="AW840" s="3"/>
      <c r="AX840" s="3"/>
      <c r="AY840" s="3"/>
      <c r="AZ840" s="30"/>
      <c r="BA840" s="30"/>
    </row>
    <row r="841" spans="1:53" s="14" customFormat="1" ht="12.9" customHeight="1">
      <c r="A841"/>
      <c r="B841"/>
      <c r="C841" s="57" t="s">
        <v>782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 customHeight="1">
      <c r="A842"/>
      <c r="B842"/>
      <c r="C842" s="57" t="s">
        <v>783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 customHeight="1">
      <c r="A845"/>
      <c r="B845"/>
      <c r="C845" s="1792" t="s">
        <v>2785</v>
      </c>
      <c r="D845" s="1793"/>
      <c r="E845" s="1793"/>
      <c r="F845" s="1793"/>
      <c r="G845" s="1793"/>
      <c r="H845" s="1793"/>
      <c r="I845" s="1793"/>
      <c r="J845" s="1793"/>
      <c r="K845" s="1793"/>
      <c r="L845" s="1793"/>
      <c r="M845" s="1793"/>
      <c r="N845" s="1793"/>
      <c r="O845" s="1793"/>
      <c r="P845" s="1793"/>
      <c r="Q845" s="1793"/>
      <c r="R845" s="1793"/>
      <c r="S845" s="1793"/>
      <c r="T845" s="1793"/>
      <c r="U845" s="1793"/>
      <c r="V845" s="1793"/>
      <c r="W845" s="1793"/>
      <c r="X845" s="1793"/>
      <c r="Y845" s="1793"/>
      <c r="Z845" s="1793"/>
      <c r="AA845" s="1793"/>
      <c r="AB845" s="1793"/>
      <c r="AC845" s="1793"/>
      <c r="AD845" s="1793"/>
      <c r="AE845" s="1793"/>
      <c r="AF845" s="1793"/>
      <c r="AG845" s="1793"/>
      <c r="AH845" s="1793"/>
      <c r="AI845" s="1793"/>
      <c r="AJ845" s="1794"/>
      <c r="AK845"/>
      <c r="AL845" s="3"/>
      <c r="AM845" s="3"/>
      <c r="AN845" s="3"/>
      <c r="AO845" s="3"/>
      <c r="AP845" s="3"/>
      <c r="AQ845" s="3"/>
      <c r="AR845" s="3"/>
      <c r="AS845" s="3"/>
      <c r="AT845" s="3"/>
      <c r="AU845"/>
      <c r="AV845"/>
      <c r="AW845"/>
      <c r="AX845"/>
      <c r="AY845"/>
      <c r="AZ845" s="30"/>
      <c r="BA845" s="30"/>
    </row>
    <row r="846" spans="1:53" s="14" customFormat="1" ht="12.9"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 customHeight="1">
      <c r="A848" s="2" t="s">
        <v>465</v>
      </c>
      <c r="B848"/>
      <c r="C848" s="2" t="s">
        <v>758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771"/>
      <c r="BJ849" s="1771"/>
      <c r="BK849" s="1771"/>
      <c r="BL849" s="1771"/>
    </row>
    <row r="850" spans="1:64" s="14" customFormat="1" ht="12.9" customHeight="1">
      <c r="A850"/>
      <c r="B850"/>
      <c r="C850" s="2" t="s">
        <v>343</v>
      </c>
      <c r="D850"/>
      <c r="E850"/>
      <c r="F850"/>
      <c r="G850"/>
      <c r="H850"/>
      <c r="I850"/>
      <c r="J850" s="45" t="s">
        <v>356</v>
      </c>
      <c r="K850" s="5"/>
      <c r="L850" s="5"/>
      <c r="M850" s="5"/>
      <c r="N850" s="5"/>
      <c r="O850" s="5"/>
      <c r="P850" s="5"/>
      <c r="Q850" s="5"/>
      <c r="R850" s="5"/>
      <c r="S850" s="5"/>
      <c r="T850" s="5"/>
      <c r="U850" s="5"/>
      <c r="V850" s="46"/>
      <c r="W850" s="1734">
        <v>11000</v>
      </c>
      <c r="X850" s="1734"/>
      <c r="Y850" s="1734"/>
      <c r="Z850" s="1734"/>
      <c r="AA850" s="1734"/>
      <c r="AB850" s="1734"/>
      <c r="AC850" s="1734"/>
      <c r="AD850"/>
      <c r="AE850"/>
      <c r="AF850"/>
      <c r="AG850"/>
      <c r="AH850"/>
      <c r="AI850"/>
      <c r="AJ850"/>
      <c r="AK850"/>
      <c r="AL850"/>
      <c r="AM850"/>
      <c r="AN850"/>
      <c r="AO850"/>
      <c r="AP850"/>
      <c r="AQ850"/>
      <c r="AR850"/>
      <c r="AS850"/>
      <c r="AT850"/>
      <c r="AU850"/>
      <c r="AV850"/>
      <c r="AW850"/>
      <c r="AX850"/>
      <c r="AY850"/>
      <c r="AZ850" s="30"/>
      <c r="BA850" s="30"/>
    </row>
    <row r="851" spans="1:64" s="14" customFormat="1" ht="12.9" customHeight="1">
      <c r="A851"/>
      <c r="B851"/>
      <c r="C851"/>
      <c r="D851"/>
      <c r="E851"/>
      <c r="F851"/>
      <c r="G851"/>
      <c r="H851"/>
      <c r="I851"/>
      <c r="J851" s="45" t="s">
        <v>355</v>
      </c>
      <c r="K851" s="5"/>
      <c r="L851" s="5"/>
      <c r="M851" s="5"/>
      <c r="N851" s="5"/>
      <c r="O851" s="5"/>
      <c r="P851" s="5"/>
      <c r="Q851" s="5"/>
      <c r="R851" s="5"/>
      <c r="S851" s="5"/>
      <c r="T851" s="5"/>
      <c r="U851" s="5"/>
      <c r="V851" s="46"/>
      <c r="W851" s="1734">
        <v>15500</v>
      </c>
      <c r="X851" s="1734"/>
      <c r="Y851" s="1734"/>
      <c r="Z851" s="1734"/>
      <c r="AA851" s="1734"/>
      <c r="AB851" s="1734"/>
      <c r="AC851" s="1734"/>
      <c r="AD851"/>
      <c r="AE851"/>
      <c r="AF851"/>
      <c r="AG851"/>
      <c r="AH851"/>
      <c r="AI851"/>
      <c r="AJ851"/>
      <c r="AK851"/>
      <c r="AL851"/>
      <c r="AM851"/>
      <c r="AN851"/>
      <c r="AO851"/>
      <c r="AP851"/>
      <c r="AQ851"/>
      <c r="AR851"/>
      <c r="AS851"/>
      <c r="AT851"/>
      <c r="AU851"/>
      <c r="AV851"/>
      <c r="AW851"/>
      <c r="AX851"/>
      <c r="AY851"/>
      <c r="AZ851" s="30"/>
      <c r="BA851" s="30"/>
    </row>
    <row r="852" spans="1:64" ht="12.9" customHeight="1">
      <c r="J852" s="45" t="s">
        <v>354</v>
      </c>
      <c r="K852" s="5"/>
      <c r="L852" s="5"/>
      <c r="M852" s="5"/>
      <c r="N852" s="5"/>
      <c r="O852" s="5"/>
      <c r="P852" s="5"/>
      <c r="Q852" s="5"/>
      <c r="R852" s="5"/>
      <c r="S852" s="5"/>
      <c r="T852" s="5"/>
      <c r="U852" s="5"/>
      <c r="V852" s="46"/>
      <c r="W852" s="1734">
        <v>24000</v>
      </c>
      <c r="X852" s="1734"/>
      <c r="Y852" s="1734"/>
      <c r="Z852" s="1734"/>
      <c r="AA852" s="1734"/>
      <c r="AB852" s="1734"/>
      <c r="AC852" s="1734"/>
      <c r="AZ852" s="30"/>
      <c r="BA852" s="30"/>
      <c r="BB852" s="14"/>
      <c r="BC852" s="14"/>
      <c r="BD852" s="14"/>
      <c r="BE852" s="14"/>
      <c r="BF852" s="14"/>
      <c r="BG852" s="14"/>
      <c r="BH852" s="14"/>
      <c r="BI852" s="14"/>
      <c r="BJ852" s="14"/>
      <c r="BK852" s="14"/>
      <c r="BL852" s="14"/>
    </row>
    <row r="853" spans="1:64" ht="12.9" customHeight="1">
      <c r="J853" s="45" t="s">
        <v>353</v>
      </c>
      <c r="K853" s="5"/>
      <c r="L853" s="5"/>
      <c r="M853" s="5"/>
      <c r="N853" s="5"/>
      <c r="O853" s="5"/>
      <c r="P853" s="5"/>
      <c r="Q853" s="5"/>
      <c r="R853" s="5"/>
      <c r="S853" s="5"/>
      <c r="T853" s="5"/>
      <c r="U853" s="5"/>
      <c r="V853" s="46"/>
      <c r="W853" s="1734">
        <v>4500</v>
      </c>
      <c r="X853" s="1734"/>
      <c r="Y853" s="1734"/>
      <c r="Z853" s="1734"/>
      <c r="AA853" s="1734"/>
      <c r="AB853" s="1734"/>
      <c r="AC853" s="1734"/>
      <c r="AZ853" s="30"/>
      <c r="BA853" s="30"/>
      <c r="BB853" s="14"/>
      <c r="BC853" s="14"/>
      <c r="BD853" s="14"/>
      <c r="BE853" s="14"/>
      <c r="BF853" s="14"/>
      <c r="BG853" s="14"/>
      <c r="BH853" s="14"/>
      <c r="BI853" s="14"/>
      <c r="BJ853" s="14"/>
      <c r="BK853" s="14"/>
      <c r="BL853" s="14"/>
    </row>
    <row r="854" spans="1:64" ht="12.9" customHeight="1">
      <c r="J854" s="45" t="s">
        <v>170</v>
      </c>
      <c r="K854" s="5"/>
      <c r="L854" s="5"/>
      <c r="M854" s="1686" t="s">
        <v>2794</v>
      </c>
      <c r="N854" s="1727"/>
      <c r="O854" s="1727"/>
      <c r="P854" s="1727"/>
      <c r="Q854" s="1727"/>
      <c r="R854" s="1727"/>
      <c r="S854" s="1727"/>
      <c r="T854" s="1727"/>
      <c r="U854" s="1727"/>
      <c r="V854" s="1728"/>
      <c r="W854" s="1734">
        <v>31880</v>
      </c>
      <c r="X854" s="1734"/>
      <c r="Y854" s="1734"/>
      <c r="Z854" s="1734"/>
      <c r="AA854" s="1734"/>
      <c r="AB854" s="1734"/>
      <c r="AC854" s="1734"/>
      <c r="AZ854" s="30"/>
      <c r="BA854" s="30"/>
      <c r="BB854" s="14"/>
      <c r="BC854" s="14"/>
      <c r="BD854" s="14"/>
      <c r="BE854" s="14"/>
      <c r="BF854" s="14"/>
      <c r="BG854" s="14"/>
      <c r="BH854" s="14"/>
      <c r="BI854" s="14"/>
      <c r="BJ854" s="14"/>
      <c r="BK854" s="14"/>
      <c r="BL854" s="14"/>
    </row>
    <row r="855" spans="1:64" ht="12.9" customHeight="1">
      <c r="J855" s="45"/>
      <c r="K855" s="5"/>
      <c r="L855" s="5"/>
      <c r="M855" s="5"/>
      <c r="N855" s="5"/>
      <c r="O855" s="5"/>
      <c r="P855" s="5"/>
      <c r="Q855" s="5"/>
      <c r="R855" s="5"/>
      <c r="S855" s="5"/>
      <c r="T855" s="5"/>
      <c r="U855" s="5"/>
      <c r="V855" s="54" t="s">
        <v>342</v>
      </c>
      <c r="W855" s="1540">
        <f>SUM(W850:W854)</f>
        <v>86880</v>
      </c>
      <c r="X855" s="1541"/>
      <c r="Y855" s="1541"/>
      <c r="Z855" s="1541"/>
      <c r="AA855" s="1541"/>
      <c r="AB855" s="1541"/>
      <c r="AC855" s="1542"/>
      <c r="AZ855" s="30"/>
      <c r="BA855" s="30"/>
      <c r="BB855" s="14"/>
      <c r="BC855" s="14"/>
      <c r="BD855" s="14"/>
      <c r="BE855" s="14"/>
      <c r="BF855" s="14"/>
      <c r="BG855" s="14"/>
      <c r="BH855" s="14"/>
      <c r="BI855" s="14"/>
      <c r="BJ855" s="14"/>
      <c r="BK855" s="14"/>
      <c r="BL855" s="14"/>
    </row>
    <row r="856" spans="1:64" ht="12.9" customHeight="1">
      <c r="AZ856" s="30"/>
      <c r="BA856" s="30"/>
      <c r="BB856" s="14"/>
      <c r="BC856" s="14"/>
      <c r="BD856" s="14"/>
      <c r="BE856" s="14"/>
      <c r="BF856" s="14"/>
      <c r="BG856" s="1749"/>
      <c r="BH856" s="1749"/>
      <c r="BI856" s="1749"/>
      <c r="BJ856" s="1749"/>
      <c r="BK856" s="1749"/>
      <c r="BL856" s="1749"/>
    </row>
    <row r="857" spans="1:64" ht="12.9" customHeight="1">
      <c r="C857" s="2" t="s">
        <v>344</v>
      </c>
      <c r="J857" s="1586" t="s">
        <v>345</v>
      </c>
      <c r="K857" s="1587"/>
      <c r="L857" s="1587"/>
      <c r="M857" s="1587"/>
      <c r="N857" s="1587"/>
      <c r="O857" s="1587"/>
      <c r="P857" s="1587"/>
      <c r="Q857" s="1587"/>
      <c r="R857" s="1587"/>
      <c r="S857" s="1587"/>
      <c r="T857" s="1587"/>
      <c r="U857" s="1587"/>
      <c r="V857" s="1588"/>
      <c r="W857" s="1530">
        <v>94920</v>
      </c>
      <c r="X857" s="1531"/>
      <c r="Y857" s="1531"/>
      <c r="Z857" s="1531"/>
      <c r="AA857" s="1531"/>
      <c r="AB857" s="1531"/>
      <c r="AC857" s="1532"/>
      <c r="AD857" s="529"/>
      <c r="AZ857" s="30"/>
      <c r="BA857" s="30"/>
      <c r="BB857" s="14"/>
      <c r="BC857" s="14"/>
    </row>
    <row r="858" spans="1:64" ht="12.9" customHeight="1">
      <c r="AD858" s="529"/>
      <c r="AZ858" s="30"/>
      <c r="BA858" s="30"/>
      <c r="BB858" s="14"/>
      <c r="BC858" s="14"/>
    </row>
    <row r="859" spans="1:64" ht="12.9" customHeight="1">
      <c r="C859" s="2" t="s">
        <v>559</v>
      </c>
      <c r="J859" s="45" t="s">
        <v>352</v>
      </c>
      <c r="K859" s="5"/>
      <c r="L859" s="5"/>
      <c r="M859" s="5"/>
      <c r="N859" s="5"/>
      <c r="O859" s="5"/>
      <c r="P859" s="5"/>
      <c r="Q859" s="5"/>
      <c r="R859" s="5"/>
      <c r="S859" s="5"/>
      <c r="T859" s="5"/>
      <c r="U859" s="5"/>
      <c r="V859" s="46"/>
      <c r="W859" s="1735"/>
      <c r="X859" s="1735"/>
      <c r="Y859" s="1735"/>
      <c r="Z859" s="1735"/>
      <c r="AA859" s="1735"/>
      <c r="AB859" s="1735"/>
      <c r="AC859" s="1735"/>
      <c r="AZ859" s="1805"/>
      <c r="BA859" s="1805"/>
      <c r="BB859" s="14"/>
      <c r="BC859" s="14"/>
    </row>
    <row r="860" spans="1:64" ht="12.9" customHeight="1">
      <c r="J860" s="45" t="s">
        <v>351</v>
      </c>
      <c r="K860" s="5"/>
      <c r="L860" s="5"/>
      <c r="M860" s="5"/>
      <c r="N860" s="5"/>
      <c r="O860" s="5"/>
      <c r="P860" s="5"/>
      <c r="Q860" s="5"/>
      <c r="R860" s="5"/>
      <c r="S860" s="5"/>
      <c r="T860" s="5"/>
      <c r="U860" s="5"/>
      <c r="V860" s="46"/>
      <c r="W860" s="1735"/>
      <c r="X860" s="1735"/>
      <c r="Y860" s="1735"/>
      <c r="Z860" s="1735"/>
      <c r="AA860" s="1735"/>
      <c r="AB860" s="1735"/>
      <c r="AC860" s="1735"/>
      <c r="AZ860" s="30"/>
      <c r="BA860" s="30"/>
      <c r="BB860" s="14"/>
      <c r="BC860" s="14"/>
    </row>
    <row r="861" spans="1:64" ht="12.9" customHeight="1">
      <c r="J861" s="45" t="s">
        <v>457</v>
      </c>
      <c r="K861" s="5"/>
      <c r="L861" s="5"/>
      <c r="M861" s="5"/>
      <c r="N861" s="5"/>
      <c r="O861" s="5"/>
      <c r="P861" s="5"/>
      <c r="Q861" s="5"/>
      <c r="R861" s="5"/>
      <c r="S861" s="5"/>
      <c r="T861" s="5"/>
      <c r="U861" s="5"/>
      <c r="V861" s="46"/>
      <c r="W861" s="1735">
        <v>78200</v>
      </c>
      <c r="X861" s="1735"/>
      <c r="Y861" s="1735"/>
      <c r="Z861" s="1735"/>
      <c r="AA861" s="1735"/>
      <c r="AB861" s="1735"/>
      <c r="AC861" s="1735"/>
      <c r="AZ861" s="30"/>
      <c r="BA861" s="30"/>
      <c r="BB861" s="14"/>
      <c r="BC861" s="14"/>
    </row>
    <row r="862" spans="1:64" ht="12.9" customHeight="1">
      <c r="J862" s="62" t="s">
        <v>618</v>
      </c>
      <c r="K862" s="5"/>
      <c r="L862" s="5"/>
      <c r="M862" s="5"/>
      <c r="N862" s="5"/>
      <c r="O862" s="5"/>
      <c r="P862" s="5"/>
      <c r="Q862" s="5"/>
      <c r="R862" s="5"/>
      <c r="S862" s="5"/>
      <c r="T862" s="5"/>
      <c r="U862" s="5"/>
      <c r="V862" s="46"/>
      <c r="W862" s="1735">
        <f>44500+47500</f>
        <v>92000</v>
      </c>
      <c r="X862" s="1735"/>
      <c r="Y862" s="1735"/>
      <c r="Z862" s="1735"/>
      <c r="AA862" s="1735"/>
      <c r="AB862" s="1735"/>
      <c r="AC862" s="1735"/>
      <c r="AZ862" s="34"/>
      <c r="BA862" s="34"/>
      <c r="BB862" s="34"/>
      <c r="BC862" s="34"/>
    </row>
    <row r="863" spans="1:64" ht="12.9" customHeight="1">
      <c r="J863" s="63"/>
      <c r="K863" s="48"/>
      <c r="L863" s="48"/>
      <c r="M863" s="48"/>
      <c r="N863" s="48"/>
      <c r="O863" s="48"/>
      <c r="P863" s="48"/>
      <c r="Q863" s="48"/>
      <c r="R863" s="48"/>
      <c r="S863" s="48"/>
      <c r="T863" s="48"/>
      <c r="U863" s="48"/>
      <c r="V863" s="54" t="s">
        <v>272</v>
      </c>
      <c r="W863" s="1800">
        <f>SUM(W859:W862)</f>
        <v>170200</v>
      </c>
      <c r="X863" s="1800"/>
      <c r="Y863" s="1800"/>
      <c r="Z863" s="1800"/>
      <c r="AA863" s="1800"/>
      <c r="AB863" s="1800"/>
      <c r="AC863" s="1800"/>
      <c r="AZ863" s="34"/>
      <c r="BA863" s="34"/>
      <c r="BB863" s="34"/>
      <c r="BC863" s="34"/>
    </row>
    <row r="864" spans="1:64" ht="12.9" customHeight="1">
      <c r="AZ864" s="34"/>
      <c r="BA864" s="34"/>
      <c r="BB864" s="34"/>
      <c r="BC864" s="34"/>
    </row>
    <row r="865" spans="3:55" ht="12.9" customHeight="1">
      <c r="C865" s="2" t="s">
        <v>346</v>
      </c>
      <c r="J865" s="45" t="s">
        <v>617</v>
      </c>
      <c r="K865" s="5"/>
      <c r="L865" s="5"/>
      <c r="M865" s="5"/>
      <c r="N865" s="5"/>
      <c r="O865" s="5"/>
      <c r="P865" s="5"/>
      <c r="Q865" s="5"/>
      <c r="R865" s="5"/>
      <c r="S865" s="5"/>
      <c r="T865" s="5"/>
      <c r="U865" s="5"/>
      <c r="V865" s="46"/>
      <c r="W865" s="1751">
        <v>80000</v>
      </c>
      <c r="X865" s="1752"/>
      <c r="Y865" s="1752"/>
      <c r="Z865" s="1752"/>
      <c r="AA865" s="1752"/>
      <c r="AB865" s="1752"/>
      <c r="AC865" s="1753"/>
      <c r="AD865" s="524"/>
      <c r="AZ865" s="34"/>
      <c r="BA865" s="34"/>
      <c r="BB865" s="34"/>
      <c r="BC865" s="34"/>
    </row>
    <row r="866" spans="3:55" ht="12.9" customHeight="1">
      <c r="C866" s="2" t="s">
        <v>347</v>
      </c>
      <c r="J866" s="121" t="s">
        <v>1641</v>
      </c>
      <c r="K866" s="5"/>
      <c r="L866" s="5"/>
      <c r="M866" s="5"/>
      <c r="N866" s="5"/>
      <c r="O866" s="5"/>
      <c r="P866" s="5"/>
      <c r="Q866" s="5"/>
      <c r="R866" s="5"/>
      <c r="S866" s="5"/>
      <c r="T866" s="1795">
        <v>2</v>
      </c>
      <c r="U866" s="1558"/>
      <c r="V866" s="1796"/>
      <c r="W866" s="865"/>
      <c r="X866" s="866"/>
      <c r="Y866" s="866"/>
      <c r="Z866" s="866"/>
      <c r="AA866" s="866"/>
      <c r="AB866" s="866"/>
      <c r="AC866" s="867"/>
      <c r="AD866" s="524"/>
      <c r="AZ866" s="34"/>
      <c r="BA866" s="34"/>
      <c r="BB866" s="34"/>
      <c r="BC866" s="34"/>
    </row>
    <row r="867" spans="3:55" ht="12.9" customHeight="1">
      <c r="C867" s="2"/>
      <c r="J867" s="45" t="s">
        <v>616</v>
      </c>
      <c r="K867" s="5"/>
      <c r="L867" s="5"/>
      <c r="M867" s="5"/>
      <c r="N867" s="5"/>
      <c r="O867" s="5"/>
      <c r="P867" s="5"/>
      <c r="Q867" s="5"/>
      <c r="R867" s="5"/>
      <c r="S867" s="5"/>
      <c r="T867" s="5"/>
      <c r="U867" s="5"/>
      <c r="V867" s="46"/>
      <c r="W867" s="1751">
        <v>69000</v>
      </c>
      <c r="X867" s="1752"/>
      <c r="Y867" s="1752"/>
      <c r="Z867" s="1752"/>
      <c r="AA867" s="1752"/>
      <c r="AB867" s="1752"/>
      <c r="AC867" s="1753"/>
      <c r="AD867" s="529"/>
      <c r="AZ867" s="34"/>
      <c r="BA867" s="34"/>
      <c r="BB867" s="34"/>
      <c r="BC867" s="34"/>
    </row>
    <row r="868" spans="3:55" ht="12.9" customHeight="1">
      <c r="C868" s="2"/>
      <c r="J868" s="121" t="s">
        <v>1642</v>
      </c>
      <c r="K868" s="5"/>
      <c r="L868" s="5"/>
      <c r="M868" s="5"/>
      <c r="N868" s="5"/>
      <c r="O868" s="5"/>
      <c r="P868" s="5"/>
      <c r="Q868" s="5"/>
      <c r="R868" s="5"/>
      <c r="S868" s="5"/>
      <c r="T868" s="1795">
        <v>1</v>
      </c>
      <c r="U868" s="1558"/>
      <c r="V868" s="1796"/>
      <c r="W868" s="865"/>
      <c r="X868" s="866"/>
      <c r="Y868" s="866"/>
      <c r="Z868" s="866"/>
      <c r="AA868" s="866"/>
      <c r="AB868" s="866"/>
      <c r="AC868" s="867"/>
      <c r="AD868" s="529"/>
      <c r="AZ868" s="34"/>
      <c r="BA868" s="34"/>
      <c r="BB868" s="34"/>
      <c r="BC868" s="34"/>
    </row>
    <row r="869" spans="3:55" ht="12.9" customHeight="1">
      <c r="J869" s="45" t="s">
        <v>170</v>
      </c>
      <c r="K869" s="5"/>
      <c r="L869" s="5"/>
      <c r="M869" s="1686" t="s">
        <v>2795</v>
      </c>
      <c r="N869" s="1727"/>
      <c r="O869" s="1727"/>
      <c r="P869" s="1727"/>
      <c r="Q869" s="1727"/>
      <c r="R869" s="1727"/>
      <c r="S869" s="1727"/>
      <c r="T869" s="1727"/>
      <c r="U869" s="1727"/>
      <c r="V869" s="1728"/>
      <c r="W869" s="1751">
        <v>31000</v>
      </c>
      <c r="X869" s="1752"/>
      <c r="Y869" s="1752"/>
      <c r="Z869" s="1752"/>
      <c r="AA869" s="1752"/>
      <c r="AB869" s="1752"/>
      <c r="AC869" s="1753"/>
      <c r="AD869" s="524"/>
      <c r="AU869" s="14"/>
      <c r="AZ869" s="34"/>
      <c r="BA869" s="34"/>
      <c r="BB869" s="34"/>
      <c r="BC869" s="34"/>
    </row>
    <row r="870" spans="3:55" ht="12.9" customHeight="1">
      <c r="J870" s="45"/>
      <c r="K870" s="5"/>
      <c r="L870" s="5"/>
      <c r="M870" s="5"/>
      <c r="N870" s="5"/>
      <c r="O870" s="5"/>
      <c r="P870" s="5"/>
      <c r="Q870" s="5"/>
      <c r="R870" s="5"/>
      <c r="S870" s="5"/>
      <c r="T870" s="5"/>
      <c r="U870" s="5"/>
      <c r="V870" s="54" t="s">
        <v>273</v>
      </c>
      <c r="W870" s="1797">
        <f>SUM(W865:W869)</f>
        <v>180000</v>
      </c>
      <c r="X870" s="1798"/>
      <c r="Y870" s="1798"/>
      <c r="Z870" s="1798"/>
      <c r="AA870" s="1798"/>
      <c r="AB870" s="1798"/>
      <c r="AC870" s="1799"/>
      <c r="AD870" s="529"/>
      <c r="AU870" s="14"/>
      <c r="AZ870" s="34"/>
      <c r="BA870" s="34"/>
      <c r="BB870" s="34"/>
      <c r="BC870" s="34"/>
    </row>
    <row r="871" spans="3:55" ht="12.9" customHeight="1">
      <c r="AU871" s="14"/>
      <c r="AZ871" s="34"/>
      <c r="BA871" s="34"/>
      <c r="BB871" s="34"/>
      <c r="BC871" s="34"/>
    </row>
    <row r="872" spans="3:55" ht="12.9" customHeight="1">
      <c r="C872" s="2" t="s">
        <v>155</v>
      </c>
      <c r="J872" s="45"/>
      <c r="K872" s="5"/>
      <c r="L872" s="5"/>
      <c r="M872" s="5"/>
      <c r="N872" s="5"/>
      <c r="O872" s="5"/>
      <c r="P872" s="5"/>
      <c r="Q872" s="5"/>
      <c r="R872" s="5"/>
      <c r="S872" s="5"/>
      <c r="T872" s="5"/>
      <c r="U872" s="5"/>
      <c r="V872" s="54" t="s">
        <v>274</v>
      </c>
      <c r="W872" s="1751">
        <v>69000</v>
      </c>
      <c r="X872" s="1752"/>
      <c r="Y872" s="1752"/>
      <c r="Z872" s="1752"/>
      <c r="AA872" s="1752"/>
      <c r="AB872" s="1752"/>
      <c r="AC872" s="1753"/>
      <c r="AU872" s="14"/>
      <c r="AZ872" s="34"/>
      <c r="BA872" s="34"/>
      <c r="BB872" s="34"/>
      <c r="BC872" s="34"/>
    </row>
    <row r="873" spans="3:55" ht="12.9" customHeight="1">
      <c r="J873" s="508"/>
      <c r="AU873" s="14"/>
      <c r="AZ873" s="34"/>
      <c r="BA873" s="34"/>
      <c r="BB873" s="34"/>
      <c r="BC873" s="34"/>
    </row>
    <row r="874" spans="3:55" ht="12.9" customHeight="1">
      <c r="C874" s="2" t="s">
        <v>389</v>
      </c>
      <c r="J874" s="45" t="s">
        <v>615</v>
      </c>
      <c r="K874" s="5"/>
      <c r="L874" s="5"/>
      <c r="M874" s="5"/>
      <c r="N874" s="5"/>
      <c r="O874" s="5"/>
      <c r="P874" s="5"/>
      <c r="Q874" s="5"/>
      <c r="R874" s="5"/>
      <c r="S874" s="5"/>
      <c r="T874" s="5"/>
      <c r="U874" s="5"/>
      <c r="V874" s="46"/>
      <c r="W874" s="1734"/>
      <c r="X874" s="1734"/>
      <c r="Y874" s="1734"/>
      <c r="Z874" s="1734"/>
      <c r="AA874" s="1734"/>
      <c r="AB874" s="1734"/>
      <c r="AC874" s="1734"/>
      <c r="AU874" s="14"/>
      <c r="AZ874" s="34"/>
      <c r="BA874" s="34"/>
      <c r="BB874" s="34"/>
      <c r="BC874" s="34"/>
    </row>
    <row r="875" spans="3:55" ht="12.9" customHeight="1">
      <c r="J875" s="45" t="s">
        <v>520</v>
      </c>
      <c r="K875" s="5"/>
      <c r="L875" s="5"/>
      <c r="M875" s="5"/>
      <c r="N875" s="5"/>
      <c r="O875" s="5"/>
      <c r="P875" s="5"/>
      <c r="Q875" s="5"/>
      <c r="R875" s="5"/>
      <c r="S875" s="5"/>
      <c r="T875" s="5"/>
      <c r="U875" s="5"/>
      <c r="V875" s="46"/>
      <c r="W875" s="1734"/>
      <c r="X875" s="1734"/>
      <c r="Y875" s="1734"/>
      <c r="Z875" s="1734"/>
      <c r="AA875" s="1734"/>
      <c r="AB875" s="1734"/>
      <c r="AC875" s="1734"/>
      <c r="AU875" s="4"/>
      <c r="AZ875" s="34"/>
      <c r="BA875" s="34"/>
      <c r="BB875" s="34"/>
      <c r="BC875" s="34"/>
    </row>
    <row r="876" spans="3:55" ht="12.9" customHeight="1">
      <c r="J876" s="45" t="s">
        <v>519</v>
      </c>
      <c r="K876" s="5"/>
      <c r="L876" s="5"/>
      <c r="M876" s="5"/>
      <c r="N876" s="5"/>
      <c r="O876" s="5"/>
      <c r="P876" s="5"/>
      <c r="Q876" s="5"/>
      <c r="R876" s="5"/>
      <c r="S876" s="5"/>
      <c r="T876" s="5"/>
      <c r="U876" s="5"/>
      <c r="V876" s="46"/>
      <c r="W876" s="1734">
        <v>39000</v>
      </c>
      <c r="X876" s="1734"/>
      <c r="Y876" s="1734"/>
      <c r="Z876" s="1734"/>
      <c r="AA876" s="1734"/>
      <c r="AB876" s="1734"/>
      <c r="AC876" s="1734"/>
      <c r="AU876" s="4"/>
      <c r="AZ876" s="34"/>
      <c r="BA876" s="34"/>
      <c r="BB876" s="34"/>
      <c r="BC876" s="34"/>
    </row>
    <row r="877" spans="3:55" ht="12.9" customHeight="1">
      <c r="J877" s="45" t="s">
        <v>518</v>
      </c>
      <c r="K877" s="5"/>
      <c r="L877" s="5"/>
      <c r="M877" s="5"/>
      <c r="N877" s="5"/>
      <c r="O877" s="5"/>
      <c r="P877" s="5"/>
      <c r="Q877" s="5"/>
      <c r="R877" s="5"/>
      <c r="S877" s="5"/>
      <c r="T877" s="5"/>
      <c r="U877" s="5"/>
      <c r="V877" s="46"/>
      <c r="W877" s="1734">
        <v>24500</v>
      </c>
      <c r="X877" s="1734"/>
      <c r="Y877" s="1734"/>
      <c r="Z877" s="1734"/>
      <c r="AA877" s="1734"/>
      <c r="AB877" s="1734"/>
      <c r="AC877" s="1734"/>
      <c r="AU877" s="4"/>
      <c r="AZ877" s="34"/>
      <c r="BA877" s="34"/>
      <c r="BB877" s="34"/>
      <c r="BC877" s="34"/>
    </row>
    <row r="878" spans="3:55" ht="12.9" customHeight="1">
      <c r="J878" s="45" t="s">
        <v>517</v>
      </c>
      <c r="K878" s="5"/>
      <c r="L878" s="5"/>
      <c r="M878" s="5"/>
      <c r="N878" s="5"/>
      <c r="O878" s="5"/>
      <c r="P878" s="5"/>
      <c r="Q878" s="5"/>
      <c r="R878" s="5"/>
      <c r="S878" s="5"/>
      <c r="T878" s="5"/>
      <c r="U878" s="5"/>
      <c r="V878" s="46"/>
      <c r="W878" s="1734">
        <v>10000</v>
      </c>
      <c r="X878" s="1734"/>
      <c r="Y878" s="1734"/>
      <c r="Z878" s="1734"/>
      <c r="AA878" s="1734"/>
      <c r="AB878" s="1734"/>
      <c r="AC878" s="1734"/>
      <c r="AU878" s="4"/>
      <c r="AZ878" s="34"/>
      <c r="BA878" s="34"/>
      <c r="BB878" s="34"/>
      <c r="BC878" s="34"/>
    </row>
    <row r="879" spans="3:55" ht="12.9" customHeight="1">
      <c r="J879" s="45" t="s">
        <v>516</v>
      </c>
      <c r="K879" s="5"/>
      <c r="L879" s="5"/>
      <c r="M879" s="5"/>
      <c r="N879" s="5"/>
      <c r="O879" s="5"/>
      <c r="P879" s="5"/>
      <c r="Q879" s="5"/>
      <c r="R879" s="5"/>
      <c r="S879" s="5"/>
      <c r="T879" s="5"/>
      <c r="U879" s="5"/>
      <c r="V879" s="46"/>
      <c r="W879" s="1734">
        <v>17000</v>
      </c>
      <c r="X879" s="1734"/>
      <c r="Y879" s="1734"/>
      <c r="Z879" s="1734"/>
      <c r="AA879" s="1734"/>
      <c r="AB879" s="1734"/>
      <c r="AC879" s="1734"/>
      <c r="AU879" s="4"/>
      <c r="AZ879" s="34"/>
      <c r="BA879" s="34"/>
      <c r="BB879" s="34"/>
      <c r="BC879" s="34"/>
    </row>
    <row r="880" spans="3:55" ht="12.9" customHeight="1">
      <c r="J880" s="45" t="s">
        <v>170</v>
      </c>
      <c r="K880" s="5"/>
      <c r="L880" s="5"/>
      <c r="M880" s="1686" t="s">
        <v>2796</v>
      </c>
      <c r="N880" s="1727"/>
      <c r="O880" s="1727"/>
      <c r="P880" s="1727"/>
      <c r="Q880" s="1727"/>
      <c r="R880" s="1727"/>
      <c r="S880" s="1727"/>
      <c r="T880" s="1727"/>
      <c r="U880" s="1727"/>
      <c r="V880" s="1728"/>
      <c r="W880" s="1734">
        <v>99500</v>
      </c>
      <c r="X880" s="1734"/>
      <c r="Y880" s="1734"/>
      <c r="Z880" s="1734"/>
      <c r="AA880" s="1734"/>
      <c r="AB880" s="1734"/>
      <c r="AC880" s="1734"/>
      <c r="AD880" s="529"/>
      <c r="AU880" s="4"/>
      <c r="AV880" s="14"/>
      <c r="AW880" s="14"/>
      <c r="AX880" s="14"/>
      <c r="AY880" s="14"/>
      <c r="AZ880" s="34"/>
      <c r="BA880" s="34"/>
      <c r="BB880" s="34"/>
      <c r="BC880" s="34"/>
    </row>
    <row r="881" spans="3:55" ht="12.9" customHeight="1">
      <c r="J881" s="45"/>
      <c r="K881" s="5"/>
      <c r="L881" s="5"/>
      <c r="M881" s="5"/>
      <c r="N881" s="5"/>
      <c r="O881" s="5"/>
      <c r="P881" s="5"/>
      <c r="Q881" s="5"/>
      <c r="R881" s="5"/>
      <c r="S881" s="5"/>
      <c r="T881" s="5"/>
      <c r="U881" s="5"/>
      <c r="V881" s="54" t="s">
        <v>275</v>
      </c>
      <c r="W881" s="1762">
        <f>SUM(W874:W880)</f>
        <v>190000</v>
      </c>
      <c r="X881" s="1762"/>
      <c r="Y881" s="1762"/>
      <c r="Z881" s="1762"/>
      <c r="AA881" s="1762"/>
      <c r="AB881" s="1762"/>
      <c r="AC881" s="1762"/>
      <c r="AU881" s="4"/>
      <c r="AV881" s="14"/>
      <c r="AW881" s="14"/>
      <c r="AX881" s="14"/>
      <c r="AY881" s="14"/>
      <c r="AZ881" s="34"/>
      <c r="BA881" s="34"/>
      <c r="BB881" s="34"/>
      <c r="BC881" s="34"/>
    </row>
    <row r="882" spans="3:55" ht="12.9" customHeight="1">
      <c r="AU882" s="4"/>
      <c r="AV882" s="14"/>
      <c r="AW882" s="14"/>
      <c r="AX882" s="14"/>
      <c r="AY882" s="14"/>
      <c r="AZ882" s="34"/>
      <c r="BA882" s="34"/>
      <c r="BB882" s="34"/>
      <c r="BC882" s="34"/>
    </row>
    <row r="883" spans="3:55" ht="12.9" customHeight="1">
      <c r="C883" s="2" t="s">
        <v>1240</v>
      </c>
      <c r="J883" s="45" t="s">
        <v>170</v>
      </c>
      <c r="K883" s="5"/>
      <c r="L883" s="5"/>
      <c r="M883" s="1686"/>
      <c r="N883" s="1727"/>
      <c r="O883" s="1727"/>
      <c r="P883" s="1727"/>
      <c r="Q883" s="1727"/>
      <c r="R883" s="1727"/>
      <c r="S883" s="1727"/>
      <c r="T883" s="1727"/>
      <c r="U883" s="1727"/>
      <c r="V883" s="1728"/>
      <c r="W883" s="1530"/>
      <c r="X883" s="1531"/>
      <c r="Y883" s="1531"/>
      <c r="Z883" s="1531"/>
      <c r="AA883" s="1531"/>
      <c r="AB883" s="1531"/>
      <c r="AC883" s="1532"/>
      <c r="AD883" s="529"/>
      <c r="AV883" s="14"/>
      <c r="AW883" s="14"/>
      <c r="AX883" s="14"/>
      <c r="AY883" s="14"/>
      <c r="AZ883" s="34"/>
      <c r="BA883" s="34"/>
      <c r="BB883" s="34"/>
      <c r="BC883" s="34"/>
    </row>
    <row r="884" spans="3:55" ht="12.9" customHeight="1">
      <c r="C884" s="2" t="s">
        <v>1241</v>
      </c>
      <c r="J884" s="45" t="s">
        <v>170</v>
      </c>
      <c r="K884" s="5"/>
      <c r="L884" s="5"/>
      <c r="M884" s="1686"/>
      <c r="N884" s="1727"/>
      <c r="O884" s="1727"/>
      <c r="P884" s="1727"/>
      <c r="Q884" s="1727"/>
      <c r="R884" s="1727"/>
      <c r="S884" s="1727"/>
      <c r="T884" s="1727"/>
      <c r="U884" s="1727"/>
      <c r="V884" s="1728"/>
      <c r="W884" s="1530"/>
      <c r="X884" s="1531"/>
      <c r="Y884" s="1531"/>
      <c r="Z884" s="1531"/>
      <c r="AA884" s="1531"/>
      <c r="AB884" s="1531"/>
      <c r="AC884" s="1532"/>
      <c r="AD884" s="529"/>
      <c r="AV884" s="14"/>
      <c r="AW884" s="14"/>
      <c r="AX884" s="14"/>
      <c r="AY884" s="14"/>
      <c r="AZ884" s="34"/>
      <c r="BA884" s="34"/>
      <c r="BB884" s="34"/>
      <c r="BC884" s="34"/>
    </row>
    <row r="885" spans="3:55" ht="12.9" customHeight="1">
      <c r="J885" s="45" t="s">
        <v>170</v>
      </c>
      <c r="K885" s="5"/>
      <c r="L885" s="5"/>
      <c r="M885" s="1686"/>
      <c r="N885" s="1727"/>
      <c r="O885" s="1727"/>
      <c r="P885" s="1727"/>
      <c r="Q885" s="1727"/>
      <c r="R885" s="1727"/>
      <c r="S885" s="1727"/>
      <c r="T885" s="1727"/>
      <c r="U885" s="1727"/>
      <c r="V885" s="1728"/>
      <c r="W885" s="1530"/>
      <c r="X885" s="1531"/>
      <c r="Y885" s="1531"/>
      <c r="Z885" s="1531"/>
      <c r="AA885" s="1531"/>
      <c r="AB885" s="1531"/>
      <c r="AC885" s="1532"/>
      <c r="AL885" s="14"/>
      <c r="AM885" s="14"/>
      <c r="AN885" s="14"/>
      <c r="AO885" s="14"/>
      <c r="AP885" s="14"/>
      <c r="AQ885" s="14"/>
      <c r="AR885" s="14"/>
      <c r="AS885" s="14"/>
      <c r="AT885" s="14"/>
      <c r="AV885" s="4"/>
      <c r="AW885" s="4"/>
      <c r="AX885" s="4"/>
      <c r="AY885" s="4"/>
      <c r="AZ885" s="34"/>
      <c r="BA885" s="34"/>
      <c r="BB885" s="34"/>
      <c r="BC885" s="34"/>
    </row>
    <row r="886" spans="3:55" ht="12.9" customHeight="1">
      <c r="J886" s="45" t="s">
        <v>170</v>
      </c>
      <c r="K886" s="5"/>
      <c r="L886" s="5"/>
      <c r="M886" s="1686"/>
      <c r="N886" s="1727"/>
      <c r="O886" s="1727"/>
      <c r="P886" s="1727"/>
      <c r="Q886" s="1727"/>
      <c r="R886" s="1727"/>
      <c r="S886" s="1727"/>
      <c r="T886" s="1727"/>
      <c r="U886" s="1727"/>
      <c r="V886" s="1728"/>
      <c r="W886" s="1530"/>
      <c r="X886" s="1531"/>
      <c r="Y886" s="1531"/>
      <c r="Z886" s="1531"/>
      <c r="AA886" s="1531"/>
      <c r="AB886" s="1531"/>
      <c r="AC886" s="1532"/>
      <c r="AL886" s="14"/>
      <c r="AM886" s="14"/>
      <c r="AN886" s="14"/>
      <c r="AO886" s="14"/>
      <c r="AP886" s="14"/>
      <c r="AQ886" s="14"/>
      <c r="AR886" s="14"/>
      <c r="AS886" s="14"/>
      <c r="AT886" s="14"/>
      <c r="AV886" s="4"/>
      <c r="AW886" s="4"/>
      <c r="AX886" s="4"/>
      <c r="AY886" s="4"/>
      <c r="AZ886" s="34"/>
      <c r="BA886" s="34"/>
      <c r="BB886" s="34"/>
      <c r="BC886" s="34"/>
    </row>
    <row r="887" spans="3:55" ht="12.9" customHeight="1">
      <c r="J887" s="45" t="s">
        <v>170</v>
      </c>
      <c r="K887" s="5"/>
      <c r="L887" s="5"/>
      <c r="M887" s="1686"/>
      <c r="N887" s="1727"/>
      <c r="O887" s="1727"/>
      <c r="P887" s="1727"/>
      <c r="Q887" s="1727"/>
      <c r="R887" s="1727"/>
      <c r="S887" s="1727"/>
      <c r="T887" s="1727"/>
      <c r="U887" s="1727"/>
      <c r="V887" s="1728"/>
      <c r="W887" s="1530"/>
      <c r="X887" s="1531"/>
      <c r="Y887" s="1531"/>
      <c r="Z887" s="1531"/>
      <c r="AA887" s="1531"/>
      <c r="AB887" s="1531"/>
      <c r="AC887" s="1532"/>
      <c r="AL887" s="14"/>
      <c r="AM887" s="14"/>
      <c r="AN887" s="14"/>
      <c r="AO887" s="14"/>
      <c r="AP887" s="14"/>
      <c r="AQ887" s="14"/>
      <c r="AR887" s="14"/>
      <c r="AS887" s="14"/>
      <c r="AT887" s="14"/>
      <c r="AV887" s="4"/>
      <c r="AW887" s="4"/>
      <c r="AX887" s="4"/>
      <c r="AY887" s="4"/>
      <c r="AZ887" s="34"/>
      <c r="BA887" s="34"/>
      <c r="BB887" s="34"/>
      <c r="BC887" s="34"/>
    </row>
    <row r="888" spans="3:55" ht="12.9" customHeight="1">
      <c r="J888" s="45"/>
      <c r="K888" s="5"/>
      <c r="L888" s="5"/>
      <c r="M888" s="5"/>
      <c r="N888" s="5"/>
      <c r="O888" s="5"/>
      <c r="P888" s="5"/>
      <c r="Q888" s="5"/>
      <c r="R888" s="5"/>
      <c r="S888" s="5"/>
      <c r="T888" s="5"/>
      <c r="U888" s="5"/>
      <c r="V888" s="54" t="s">
        <v>276</v>
      </c>
      <c r="W888" s="1540">
        <f>SUM(W883:W887)</f>
        <v>0</v>
      </c>
      <c r="X888" s="1541"/>
      <c r="Y888" s="1541"/>
      <c r="Z888" s="1541"/>
      <c r="AA888" s="1541"/>
      <c r="AB888" s="1541"/>
      <c r="AC888" s="1542"/>
      <c r="AL888" s="14"/>
      <c r="AM888" s="14"/>
      <c r="AN888" s="14"/>
      <c r="AO888" s="14"/>
      <c r="AP888" s="14"/>
      <c r="AQ888" s="14"/>
      <c r="AR888" s="14"/>
      <c r="AS888" s="14"/>
      <c r="AT888" s="14"/>
      <c r="AV888" s="4"/>
      <c r="AW888" s="4"/>
      <c r="AX888" s="4"/>
      <c r="AY888" s="4"/>
      <c r="AZ888" s="34"/>
      <c r="BA888" s="34"/>
      <c r="BB888" s="34"/>
      <c r="BC888" s="34"/>
    </row>
    <row r="889" spans="3:55" ht="12.9"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541">
        <f>W855+W863+W870+W872+W881+W888+W857</f>
        <v>791000</v>
      </c>
      <c r="AD892" s="1541"/>
      <c r="AE892" s="1541"/>
      <c r="AF892" s="1541"/>
      <c r="AG892" s="1541"/>
      <c r="AH892" s="1542"/>
      <c r="AL892" s="4"/>
      <c r="AM892" s="4"/>
      <c r="AN892" s="4"/>
      <c r="AO892" s="4"/>
      <c r="AP892" s="4"/>
      <c r="AQ892" s="4"/>
      <c r="AR892" s="4"/>
      <c r="AS892" s="4"/>
      <c r="AT892" s="4"/>
      <c r="AV892" s="4"/>
      <c r="AW892" s="4"/>
      <c r="AX892" s="4"/>
      <c r="AY892" s="4"/>
      <c r="AZ892" s="34"/>
      <c r="BA892" s="34"/>
      <c r="BB892" s="34"/>
      <c r="BC892" s="34"/>
    </row>
    <row r="893" spans="3:55" ht="12.9"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509</v>
      </c>
      <c r="AC893" s="1811">
        <f>O805+O785+G761</f>
        <v>113</v>
      </c>
      <c r="AD893" s="1811"/>
      <c r="AE893" s="1811"/>
      <c r="AF893" s="1811"/>
      <c r="AG893" s="1811"/>
      <c r="AH893" s="1812"/>
      <c r="AL893" s="4"/>
      <c r="AM893" s="4"/>
      <c r="AN893" s="4"/>
      <c r="AO893" s="4"/>
      <c r="AP893" s="4"/>
      <c r="AQ893" s="4"/>
      <c r="AR893" s="4"/>
      <c r="AS893" s="4"/>
      <c r="AT893" s="4"/>
      <c r="AZ893" s="34"/>
      <c r="BA893" s="34"/>
      <c r="BB893" s="34"/>
      <c r="BC893" s="34"/>
    </row>
    <row r="894" spans="3:55" ht="12.9" customHeight="1">
      <c r="C894" s="41"/>
      <c r="D894" s="42"/>
      <c r="E894" s="1801" t="s">
        <v>32</v>
      </c>
      <c r="F894" s="1801"/>
      <c r="G894" s="1801"/>
      <c r="H894" s="1801"/>
      <c r="I894" s="1801"/>
      <c r="J894" s="1801"/>
      <c r="K894" s="1801"/>
      <c r="L894" s="1801"/>
      <c r="M894" s="1801"/>
      <c r="N894" s="1801"/>
      <c r="O894" s="1801"/>
      <c r="P894" s="1801"/>
      <c r="Q894" s="1801"/>
      <c r="R894" s="1801"/>
      <c r="S894" s="1801"/>
      <c r="T894" s="1801"/>
      <c r="U894" s="1801"/>
      <c r="V894" s="1801"/>
      <c r="W894" s="1801"/>
      <c r="X894" s="1801"/>
      <c r="Y894" s="1801"/>
      <c r="Z894" s="1801"/>
      <c r="AA894" s="1801"/>
      <c r="AB894" s="1802"/>
      <c r="AC894" s="1762">
        <f>IF(ISERROR((ROUNDDOWN(AC892/AC893,0))),0,(ROUNDDOWN(AC892/AC893,0)))</f>
        <v>7000</v>
      </c>
      <c r="AD894" s="1762"/>
      <c r="AE894" s="1762"/>
      <c r="AF894" s="1762"/>
      <c r="AG894" s="1762"/>
      <c r="AH894" s="1762"/>
      <c r="AL894" s="4"/>
      <c r="AM894" s="4"/>
      <c r="AN894" s="4"/>
      <c r="AO894" s="4"/>
      <c r="AP894" s="4"/>
      <c r="AQ894" s="4"/>
      <c r="AR894" s="4"/>
      <c r="AS894" s="4"/>
      <c r="AT894" s="4"/>
      <c r="AZ894" s="34"/>
      <c r="BA894" s="34"/>
      <c r="BB894" s="34"/>
      <c r="BC894" s="34"/>
    </row>
    <row r="895" spans="3:55" ht="12.9"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759</v>
      </c>
      <c r="AC895" s="1809">
        <v>782824</v>
      </c>
      <c r="AD895" s="1810"/>
      <c r="AE895" s="1810"/>
      <c r="AF895" s="1810"/>
      <c r="AG895" s="1810"/>
      <c r="AH895" s="1810"/>
      <c r="AL895" s="4"/>
      <c r="AM895" s="4"/>
      <c r="AN895" s="4"/>
      <c r="AO895" s="4"/>
      <c r="AP895" s="4"/>
      <c r="AQ895" s="4"/>
      <c r="AR895" s="4"/>
      <c r="AS895" s="4"/>
      <c r="AT895" s="4"/>
      <c r="AZ895" s="34"/>
      <c r="BA895" s="34"/>
      <c r="BB895" s="34"/>
      <c r="BC895" s="34"/>
    </row>
    <row r="896" spans="3:55" ht="12.9"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532"/>
      <c r="AD896" s="1734"/>
      <c r="AE896" s="1734"/>
      <c r="AF896" s="1734"/>
      <c r="AG896" s="1734"/>
      <c r="AH896" s="1734"/>
      <c r="AL896" s="4"/>
      <c r="AM896" s="4"/>
      <c r="AN896" s="4"/>
      <c r="AO896" s="4"/>
      <c r="AP896" s="4"/>
      <c r="AQ896" s="4"/>
      <c r="AR896" s="4"/>
      <c r="AS896" s="4"/>
      <c r="AT896" s="4"/>
      <c r="AZ896" s="34"/>
      <c r="BA896" s="34"/>
      <c r="BB896" s="34"/>
      <c r="BC896" s="34"/>
    </row>
    <row r="897" spans="1:58" ht="12.9"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508</v>
      </c>
      <c r="AC897" s="1531">
        <v>27600</v>
      </c>
      <c r="AD897" s="1531"/>
      <c r="AE897" s="1531"/>
      <c r="AF897" s="1531"/>
      <c r="AG897" s="1531"/>
      <c r="AH897" s="1532"/>
      <c r="AL897" s="4"/>
      <c r="AM897" s="4"/>
      <c r="AN897" s="4"/>
      <c r="AO897" s="4"/>
      <c r="AP897" s="4"/>
      <c r="AQ897" s="4"/>
      <c r="AR897" s="4"/>
      <c r="AS897" s="4"/>
      <c r="AT897" s="4"/>
      <c r="AZ897" s="34"/>
      <c r="BA897" s="34"/>
      <c r="BB897" s="34"/>
      <c r="BC897" s="34"/>
    </row>
    <row r="898" spans="1:58" ht="12.9"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531">
        <v>28250</v>
      </c>
      <c r="AD898" s="1531"/>
      <c r="AE898" s="1531"/>
      <c r="AF898" s="1531"/>
      <c r="AG898" s="1531"/>
      <c r="AH898" s="1532"/>
      <c r="AZ898" s="34"/>
      <c r="BA898" s="34"/>
      <c r="BB898" s="34"/>
      <c r="BC898" s="34"/>
    </row>
    <row r="899" spans="1:58" ht="12.9"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763">
        <v>10564</v>
      </c>
      <c r="AD899" s="1764"/>
      <c r="AE899" s="1764"/>
      <c r="AF899" s="1764"/>
      <c r="AG899" s="1764"/>
      <c r="AH899" s="1765"/>
      <c r="AZ899" s="34"/>
      <c r="BA899" s="34"/>
      <c r="BB899" s="34"/>
      <c r="BC899" s="34"/>
    </row>
    <row r="900" spans="1:58" ht="12.9"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531"/>
      <c r="AD900" s="1531"/>
      <c r="AE900" s="1531"/>
      <c r="AF900" s="1531"/>
      <c r="AG900" s="1531"/>
      <c r="AH900" s="1532"/>
      <c r="AZ900" s="34"/>
      <c r="BA900" s="34"/>
      <c r="BB900" s="34"/>
      <c r="BC900" s="34"/>
    </row>
    <row r="901" spans="1:58" ht="12.9" hidden="1" customHeight="1">
      <c r="C901" s="1586" t="s">
        <v>2179</v>
      </c>
      <c r="D901" s="1587"/>
      <c r="E901" s="1587"/>
      <c r="F901" s="1587"/>
      <c r="G901" s="1587"/>
      <c r="H901" s="1587"/>
      <c r="I901" s="1587"/>
      <c r="J901" s="1587"/>
      <c r="K901" s="1587"/>
      <c r="L901" s="1587"/>
      <c r="M901" s="1587"/>
      <c r="N901" s="1587"/>
      <c r="O901" s="1587"/>
      <c r="P901" s="1587"/>
      <c r="Q901" s="1587"/>
      <c r="R901" s="1587"/>
      <c r="S901" s="1587"/>
      <c r="T901" s="1587"/>
      <c r="U901" s="1587"/>
      <c r="V901" s="1587"/>
      <c r="W901" s="1587"/>
      <c r="X901" s="1587"/>
      <c r="Y901" s="1587"/>
      <c r="Z901" s="1587"/>
      <c r="AA901" s="1587"/>
      <c r="AB901" s="1588"/>
      <c r="AC901" s="1531"/>
      <c r="AD901" s="1531"/>
      <c r="AE901" s="1531"/>
      <c r="AF901" s="1531"/>
      <c r="AG901" s="1531"/>
      <c r="AH901" s="1532"/>
      <c r="AZ901" s="34"/>
      <c r="BA901" s="34"/>
      <c r="BB901" s="34"/>
      <c r="BC901" s="34"/>
    </row>
    <row r="902" spans="1:58" ht="12.9"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531"/>
      <c r="AD902" s="1531"/>
      <c r="AE902" s="1531"/>
      <c r="AF902" s="1531"/>
      <c r="AG902" s="1531"/>
      <c r="AH902" s="1532"/>
      <c r="AZ902" s="34"/>
      <c r="BA902" s="34"/>
      <c r="BB902" s="34"/>
      <c r="BC902" s="34"/>
    </row>
    <row r="903" spans="1:58" ht="12.9" customHeight="1">
      <c r="C903" s="1754" t="s">
        <v>954</v>
      </c>
      <c r="D903" s="1755"/>
      <c r="E903" s="1755"/>
      <c r="F903" s="1755"/>
      <c r="G903" s="1755"/>
      <c r="H903" s="1755"/>
      <c r="I903" s="1755"/>
      <c r="J903" s="1755"/>
      <c r="K903" s="1755"/>
      <c r="L903" s="1755"/>
      <c r="M903" s="1755"/>
      <c r="N903" s="1755"/>
      <c r="O903" s="1755"/>
      <c r="P903" s="1755"/>
      <c r="Q903" s="1755"/>
      <c r="R903" s="1755"/>
      <c r="S903" s="1755"/>
      <c r="T903" s="1755"/>
      <c r="U903" s="1755"/>
      <c r="V903" s="1755"/>
      <c r="W903" s="1755"/>
      <c r="X903" s="1755"/>
      <c r="Y903" s="1755"/>
      <c r="Z903" s="1755"/>
      <c r="AA903" s="1755"/>
      <c r="AB903" s="1756"/>
      <c r="AC903" s="1734"/>
      <c r="AD903" s="1734"/>
      <c r="AE903" s="1734"/>
      <c r="AF903" s="1734"/>
      <c r="AG903" s="1734"/>
      <c r="AH903" s="1734"/>
      <c r="AZ903" s="34"/>
      <c r="BA903" s="34"/>
      <c r="BB903" s="34"/>
      <c r="BC903" s="34"/>
    </row>
    <row r="904" spans="1:58" ht="12.9" customHeight="1">
      <c r="C904" s="1754" t="s">
        <v>954</v>
      </c>
      <c r="D904" s="1755"/>
      <c r="E904" s="1755"/>
      <c r="F904" s="1755"/>
      <c r="G904" s="1755"/>
      <c r="H904" s="1755"/>
      <c r="I904" s="1755"/>
      <c r="J904" s="1755"/>
      <c r="K904" s="1755"/>
      <c r="L904" s="1755"/>
      <c r="M904" s="1755"/>
      <c r="N904" s="1755"/>
      <c r="O904" s="1755"/>
      <c r="P904" s="1755"/>
      <c r="Q904" s="1755"/>
      <c r="R904" s="1755"/>
      <c r="S904" s="1755"/>
      <c r="T904" s="1755"/>
      <c r="U904" s="1755"/>
      <c r="V904" s="1755"/>
      <c r="W904" s="1755"/>
      <c r="X904" s="1755"/>
      <c r="Y904" s="1755"/>
      <c r="Z904" s="1755"/>
      <c r="AA904" s="1755"/>
      <c r="AB904" s="1756"/>
      <c r="AC904" s="1734"/>
      <c r="AD904" s="1734"/>
      <c r="AE904" s="1734"/>
      <c r="AF904" s="1734"/>
      <c r="AG904" s="1734"/>
      <c r="AH904" s="1734"/>
      <c r="AU904" s="95"/>
      <c r="AZ904" s="34"/>
      <c r="BA904" s="34"/>
      <c r="BB904" s="34"/>
      <c r="BC904" s="34"/>
    </row>
    <row r="905" spans="1:58" ht="12.9" customHeight="1">
      <c r="E905" s="508"/>
      <c r="AB905" s="56"/>
      <c r="AC905" s="123"/>
      <c r="AD905" s="123"/>
      <c r="AE905" s="123"/>
      <c r="AF905" s="123"/>
      <c r="AG905" s="123"/>
      <c r="AH905" s="123"/>
      <c r="AU905" s="95"/>
      <c r="AZ905" s="34"/>
      <c r="BA905" s="34"/>
      <c r="BB905" s="34"/>
      <c r="BC905" s="34"/>
    </row>
    <row r="906" spans="1:58" ht="12.9" customHeight="1">
      <c r="A906" s="2" t="s">
        <v>611</v>
      </c>
      <c r="C906" s="2" t="s">
        <v>237</v>
      </c>
      <c r="X906" s="12"/>
      <c r="Y906" s="12"/>
      <c r="Z906" s="12"/>
      <c r="AA906" s="12"/>
      <c r="AB906" s="12"/>
      <c r="AC906" s="12"/>
      <c r="AD906" s="12"/>
      <c r="AU906" s="95"/>
      <c r="AZ906" s="34"/>
      <c r="BB906" s="30"/>
      <c r="BC906" s="30"/>
    </row>
    <row r="907" spans="1:58" ht="12.9" customHeight="1">
      <c r="X907" s="12"/>
      <c r="Y907" s="12"/>
      <c r="Z907" s="12"/>
      <c r="AA907" s="12"/>
      <c r="AB907" s="12"/>
      <c r="AC907" s="12"/>
      <c r="AD907" s="12"/>
      <c r="AF907" s="529"/>
      <c r="AG907" s="180"/>
      <c r="AH907" s="180"/>
      <c r="AI907" s="180"/>
      <c r="AU907" s="95"/>
      <c r="AZ907" s="34"/>
      <c r="BB907" s="30"/>
      <c r="BC907" s="30"/>
      <c r="BD907" s="14"/>
      <c r="BE907" s="14"/>
      <c r="BF907" s="14"/>
    </row>
    <row r="908" spans="1:58" ht="12.9" customHeight="1">
      <c r="B908" s="2"/>
      <c r="H908" s="121" t="s">
        <v>238</v>
      </c>
      <c r="I908" s="5"/>
      <c r="J908" s="5"/>
      <c r="K908" s="5"/>
      <c r="L908" s="5"/>
      <c r="M908" s="5"/>
      <c r="N908" s="5"/>
      <c r="O908" s="5"/>
      <c r="P908" s="5"/>
      <c r="Q908" s="5"/>
      <c r="R908" s="5"/>
      <c r="S908" s="5"/>
      <c r="T908" s="5"/>
      <c r="U908" s="5"/>
      <c r="V908" s="5"/>
      <c r="W908" s="5"/>
      <c r="X908" s="5"/>
      <c r="Y908" s="46"/>
      <c r="Z908" s="1530"/>
      <c r="AA908" s="1531"/>
      <c r="AB908" s="1531"/>
      <c r="AC908" s="1531"/>
      <c r="AD908" s="1531"/>
      <c r="AE908" s="1532"/>
      <c r="AF908" s="529"/>
      <c r="AZ908" s="34"/>
      <c r="BB908" s="30"/>
      <c r="BC908" s="807"/>
      <c r="BD908" s="1750"/>
      <c r="BE908" s="1750"/>
      <c r="BF908" s="14"/>
    </row>
    <row r="909" spans="1:58" ht="12.9" customHeight="1">
      <c r="H909" s="121" t="s">
        <v>239</v>
      </c>
      <c r="I909" s="5"/>
      <c r="J909" s="5"/>
      <c r="K909" s="5"/>
      <c r="L909" s="5"/>
      <c r="M909" s="5"/>
      <c r="N909" s="5"/>
      <c r="O909" s="5"/>
      <c r="P909" s="5"/>
      <c r="Q909" s="5"/>
      <c r="R909" s="5"/>
      <c r="S909" s="5"/>
      <c r="T909" s="5"/>
      <c r="U909" s="5"/>
      <c r="V909" s="5"/>
      <c r="W909" s="5"/>
      <c r="X909" s="5"/>
      <c r="Y909" s="5"/>
      <c r="Z909" s="1530"/>
      <c r="AA909" s="1531"/>
      <c r="AB909" s="1531"/>
      <c r="AC909" s="1531"/>
      <c r="AD909" s="1531"/>
      <c r="AE909" s="1532"/>
      <c r="AZ909" s="34"/>
      <c r="BB909" s="30"/>
      <c r="BC909" s="807"/>
      <c r="BD909" s="1750"/>
      <c r="BE909" s="1750"/>
      <c r="BF909" s="14"/>
    </row>
    <row r="910" spans="1:58" ht="12.9" customHeight="1">
      <c r="H910" s="121" t="s">
        <v>240</v>
      </c>
      <c r="I910" s="5"/>
      <c r="J910" s="5"/>
      <c r="K910" s="5"/>
      <c r="L910" s="5"/>
      <c r="M910" s="5"/>
      <c r="N910" s="5"/>
      <c r="O910" s="5"/>
      <c r="P910" s="5"/>
      <c r="Q910" s="5"/>
      <c r="R910" s="5"/>
      <c r="S910" s="5"/>
      <c r="T910" s="5"/>
      <c r="U910" s="5"/>
      <c r="V910" s="5"/>
      <c r="W910" s="5"/>
      <c r="X910" s="5"/>
      <c r="Y910" s="5"/>
      <c r="Z910" s="1530"/>
      <c r="AA910" s="1531"/>
      <c r="AB910" s="1531"/>
      <c r="AC910" s="1531"/>
      <c r="AD910" s="1531"/>
      <c r="AE910" s="1532"/>
      <c r="AZ910" s="34"/>
      <c r="BB910" s="30"/>
      <c r="BC910" s="807"/>
      <c r="BD910" s="1749"/>
      <c r="BE910" s="1749"/>
      <c r="BF910" s="14"/>
    </row>
    <row r="911" spans="1:58" ht="12.9" customHeight="1">
      <c r="H911" s="45"/>
      <c r="I911" s="5"/>
      <c r="J911" s="5"/>
      <c r="K911" s="5"/>
      <c r="L911" s="5"/>
      <c r="M911" s="5"/>
      <c r="N911" s="5"/>
      <c r="O911" s="5"/>
      <c r="P911" s="5"/>
      <c r="Q911" s="5"/>
      <c r="R911" s="5"/>
      <c r="S911" s="5"/>
      <c r="T911" s="5"/>
      <c r="U911" s="5"/>
      <c r="V911" s="5"/>
      <c r="W911" s="5"/>
      <c r="X911" s="5"/>
      <c r="Y911" s="181" t="s">
        <v>241</v>
      </c>
      <c r="Z911" s="1540">
        <f>Z908-(Z909+Z910)</f>
        <v>0</v>
      </c>
      <c r="AA911" s="1541"/>
      <c r="AB911" s="1541"/>
      <c r="AC911" s="1541"/>
      <c r="AD911" s="1541"/>
      <c r="AE911" s="1542"/>
      <c r="AZ911" s="34"/>
      <c r="BB911" s="30"/>
      <c r="BC911" s="807"/>
      <c r="BD911" s="1749"/>
      <c r="BE911" s="1749"/>
      <c r="BF911" s="14"/>
    </row>
    <row r="912" spans="1:58" ht="12.9"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749"/>
      <c r="BE912" s="1749"/>
      <c r="BF912" s="14"/>
    </row>
    <row r="913" spans="1:58" ht="12.9"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750"/>
      <c r="BE913" s="1749"/>
      <c r="BF913" s="14"/>
    </row>
    <row r="914" spans="1:58" ht="12.9"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813"/>
      <c r="BE914" s="1813"/>
      <c r="BF914" s="1813"/>
    </row>
    <row r="915" spans="1:58" ht="12.9"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771"/>
      <c r="BE915" s="1771"/>
      <c r="BF915" s="1771"/>
    </row>
    <row r="916" spans="1:58" ht="12.9"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749"/>
      <c r="BE916" s="1749"/>
      <c r="BF916" s="14"/>
    </row>
    <row r="917" spans="1:58" ht="12.9"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750"/>
      <c r="BE917" s="1749"/>
      <c r="BF917" s="14"/>
    </row>
    <row r="918" spans="1:58" ht="12.9" customHeight="1">
      <c r="AZ918" s="34"/>
      <c r="BB918" s="30"/>
      <c r="BC918" s="807"/>
    </row>
    <row r="919" spans="1:58" ht="12.9" customHeight="1">
      <c r="A919" s="1575" t="s">
        <v>96</v>
      </c>
      <c r="B919" s="1575"/>
      <c r="C919" s="1575"/>
      <c r="D919" s="1575"/>
      <c r="E919" s="1575"/>
      <c r="F919" s="1575"/>
      <c r="G919" s="1575"/>
      <c r="H919" s="1575"/>
      <c r="I919" s="1575"/>
      <c r="J919" s="1575"/>
      <c r="K919" s="1575"/>
      <c r="L919" s="1575"/>
      <c r="M919" s="1575"/>
      <c r="N919" s="1575"/>
      <c r="O919" s="1575"/>
      <c r="P919" s="1575"/>
      <c r="Q919" s="1575"/>
      <c r="R919" s="1575"/>
      <c r="S919" s="1575"/>
      <c r="T919" s="1575"/>
      <c r="U919" s="1575"/>
      <c r="V919" s="1575"/>
      <c r="W919" s="1575"/>
      <c r="X919" s="1575"/>
      <c r="Y919" s="1575"/>
      <c r="Z919" s="1575"/>
      <c r="AA919" s="1575"/>
      <c r="AB919" s="1575"/>
      <c r="AC919" s="1575"/>
      <c r="AD919" s="1575"/>
      <c r="AE919" s="1575"/>
      <c r="AF919" s="1575"/>
      <c r="AG919" s="1575"/>
      <c r="AH919" s="1575"/>
      <c r="AI919" s="1575"/>
      <c r="AJ919" s="1575"/>
      <c r="AK919" s="1575"/>
      <c r="AL919" s="1575"/>
      <c r="AM919" s="1575"/>
      <c r="AN919" s="1575"/>
      <c r="AO919" s="1575"/>
      <c r="AP919" s="1575"/>
      <c r="AQ919" s="1575"/>
      <c r="AR919" s="1575"/>
      <c r="AS919" s="1575"/>
      <c r="AT919" s="1575"/>
      <c r="AZ919" s="34"/>
      <c r="BA919" s="34"/>
      <c r="BB919" s="30"/>
      <c r="BC919" s="30"/>
      <c r="BD919" s="1750"/>
      <c r="BE919" s="1749"/>
      <c r="BF919" s="902"/>
    </row>
    <row r="920" spans="1:58" ht="12.9" customHeight="1">
      <c r="A920" s="1575"/>
      <c r="B920" s="1575"/>
      <c r="C920" s="1575"/>
      <c r="D920" s="1575"/>
      <c r="E920" s="1575"/>
      <c r="F920" s="1575"/>
      <c r="G920" s="1575"/>
      <c r="H920" s="1575"/>
      <c r="I920" s="1575"/>
      <c r="J920" s="1575"/>
      <c r="K920" s="1575"/>
      <c r="L920" s="1575"/>
      <c r="M920" s="1575"/>
      <c r="N920" s="1575"/>
      <c r="O920" s="1575"/>
      <c r="P920" s="1575"/>
      <c r="Q920" s="1575"/>
      <c r="R920" s="1575"/>
      <c r="S920" s="1575"/>
      <c r="T920" s="1575"/>
      <c r="U920" s="1575"/>
      <c r="V920" s="1575"/>
      <c r="W920" s="1575"/>
      <c r="X920" s="1575"/>
      <c r="Y920" s="1575"/>
      <c r="Z920" s="1575"/>
      <c r="AA920" s="1575"/>
      <c r="AB920" s="1575"/>
      <c r="AC920" s="1575"/>
      <c r="AD920" s="1575"/>
      <c r="AE920" s="1575"/>
      <c r="AF920" s="1575"/>
      <c r="AG920" s="1575"/>
      <c r="AH920" s="1575"/>
      <c r="AI920" s="1575"/>
      <c r="AJ920" s="1575"/>
      <c r="AK920" s="1575"/>
      <c r="AL920" s="1575"/>
      <c r="AM920" s="1575"/>
      <c r="AN920" s="1575"/>
      <c r="AO920" s="1575"/>
      <c r="AP920" s="1575"/>
      <c r="AQ920" s="1575"/>
      <c r="AR920" s="1575"/>
      <c r="AS920" s="1575"/>
      <c r="AT920" s="1575"/>
      <c r="AZ920" s="34"/>
      <c r="BA920" s="34"/>
      <c r="BB920" s="34"/>
      <c r="BC920" s="34"/>
      <c r="BD920" s="34"/>
      <c r="BE920" s="34"/>
      <c r="BF920" s="34"/>
    </row>
    <row r="921" spans="1:58" ht="12.9"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 customHeight="1">
      <c r="AZ923" s="34"/>
      <c r="BA923" s="34"/>
      <c r="BB923" s="34"/>
      <c r="BC923" s="34"/>
    </row>
    <row r="924" spans="1:58" ht="12.9" customHeight="1">
      <c r="F924" s="1806" t="s">
        <v>790</v>
      </c>
      <c r="G924" s="1807"/>
      <c r="H924" s="1807"/>
      <c r="I924" s="1807"/>
      <c r="J924" s="1807"/>
      <c r="K924" s="1807"/>
      <c r="L924" s="1807"/>
      <c r="M924" s="1807"/>
      <c r="N924" s="1807"/>
      <c r="O924" s="1807"/>
      <c r="P924" s="1807"/>
      <c r="Q924" s="1807"/>
      <c r="R924" s="1807"/>
      <c r="S924" s="1807"/>
      <c r="T924" s="1808"/>
      <c r="U924" s="1705" t="s">
        <v>31</v>
      </c>
      <c r="V924" s="1706"/>
      <c r="W924" s="1706"/>
      <c r="X924" s="1706"/>
      <c r="Y924" s="1706"/>
      <c r="Z924" s="1706"/>
      <c r="AA924" s="43"/>
      <c r="AB924" s="105"/>
      <c r="AC924" s="105"/>
      <c r="AD924" s="105"/>
      <c r="AE924" s="105"/>
      <c r="AF924" s="106"/>
      <c r="AZ924" s="34"/>
      <c r="BA924" s="34"/>
      <c r="BB924" s="34"/>
      <c r="BC924" s="34"/>
    </row>
    <row r="925" spans="1:58" ht="12.9" customHeight="1">
      <c r="B925" s="2"/>
      <c r="F925" s="1707" t="s">
        <v>816</v>
      </c>
      <c r="G925" s="1708"/>
      <c r="H925" s="1708"/>
      <c r="I925" s="1708"/>
      <c r="J925" s="1708"/>
      <c r="K925" s="1708"/>
      <c r="L925" s="1708"/>
      <c r="M925" s="1708"/>
      <c r="N925" s="1708"/>
      <c r="O925" s="1708"/>
      <c r="P925" s="1708"/>
      <c r="Q925" s="1708"/>
      <c r="R925" s="1708"/>
      <c r="S925" s="1708"/>
      <c r="T925" s="1722"/>
      <c r="U925" s="1707"/>
      <c r="V925" s="1708"/>
      <c r="W925" s="1708"/>
      <c r="X925" s="1708"/>
      <c r="Y925" s="1708"/>
      <c r="Z925" s="1708"/>
      <c r="AA925" s="44"/>
      <c r="AB925" s="4"/>
      <c r="AC925" s="4"/>
      <c r="AD925" s="4"/>
      <c r="AE925" s="4"/>
      <c r="AF925" s="107"/>
      <c r="AZ925" s="34"/>
      <c r="BA925" s="34"/>
      <c r="BB925" s="34"/>
      <c r="BC925" s="34"/>
    </row>
    <row r="926" spans="1:58" ht="12.9" customHeight="1">
      <c r="B926" s="2"/>
      <c r="F926" s="1709"/>
      <c r="G926" s="1710"/>
      <c r="H926" s="1710"/>
      <c r="I926" s="1710"/>
      <c r="J926" s="1710"/>
      <c r="K926" s="1710"/>
      <c r="L926" s="1710"/>
      <c r="M926" s="1710"/>
      <c r="N926" s="1710"/>
      <c r="O926" s="1710"/>
      <c r="P926" s="1710"/>
      <c r="Q926" s="1710"/>
      <c r="R926" s="1710"/>
      <c r="S926" s="1710"/>
      <c r="T926" s="1723"/>
      <c r="U926" s="1709"/>
      <c r="V926" s="1710"/>
      <c r="W926" s="1710"/>
      <c r="X926" s="1710"/>
      <c r="Y926" s="1710"/>
      <c r="Z926" s="1710"/>
      <c r="AA926" s="108"/>
      <c r="AB926" s="1747" t="s">
        <v>390</v>
      </c>
      <c r="AC926" s="1747"/>
      <c r="AD926" s="1747"/>
      <c r="AE926" s="1747"/>
      <c r="AF926" s="109"/>
      <c r="AZ926" s="34"/>
      <c r="BA926" s="34"/>
      <c r="BB926" s="34"/>
      <c r="BC926" s="34"/>
    </row>
    <row r="927" spans="1:58" ht="12.9" customHeight="1">
      <c r="B927" s="2"/>
      <c r="F927" s="45" t="s">
        <v>756</v>
      </c>
      <c r="G927" s="48"/>
      <c r="H927" s="48"/>
      <c r="I927" s="48"/>
      <c r="J927" s="48"/>
      <c r="K927" s="48"/>
      <c r="L927" s="48"/>
      <c r="M927" s="48"/>
      <c r="N927" s="48"/>
      <c r="O927" s="48"/>
      <c r="P927" s="48"/>
      <c r="Q927" s="48"/>
      <c r="R927" s="48"/>
      <c r="S927" s="48"/>
      <c r="T927" s="49"/>
      <c r="U927" s="1460" t="s">
        <v>543</v>
      </c>
      <c r="V927" s="1461"/>
      <c r="W927" s="1461"/>
      <c r="X927" s="1461"/>
      <c r="Y927" s="1461"/>
      <c r="Z927" s="1462"/>
      <c r="AA927" s="1488">
        <v>21128698</v>
      </c>
      <c r="AB927" s="1489"/>
      <c r="AC927" s="1489"/>
      <c r="AD927" s="1489"/>
      <c r="AE927" s="1489"/>
      <c r="AF927" s="1490"/>
      <c r="AG927" s="1186" t="str">
        <f>IF(NOT(AA927=AW927),"!","")</f>
        <v/>
      </c>
      <c r="AH927" s="3"/>
      <c r="AW927" s="1426">
        <f>SUMIF($M$562:$M$573,"Loan, Tax-Exempt",$AM$562:$AM$573)</f>
        <v>21128698</v>
      </c>
      <c r="AX927" s="1426"/>
      <c r="AY927" s="1426"/>
      <c r="AZ927" s="3" t="s">
        <v>2527</v>
      </c>
      <c r="BA927" s="34"/>
      <c r="BB927" s="34"/>
      <c r="BC927" s="34"/>
    </row>
    <row r="928" spans="1:58" ht="12.9" customHeight="1">
      <c r="B928" s="2"/>
      <c r="F928" s="66" t="s">
        <v>673</v>
      </c>
      <c r="G928" s="48"/>
      <c r="H928" s="48"/>
      <c r="I928" s="48"/>
      <c r="J928" s="48"/>
      <c r="K928" s="48"/>
      <c r="L928" s="48"/>
      <c r="M928" s="48"/>
      <c r="N928" s="48"/>
      <c r="O928" s="48"/>
      <c r="P928" s="48"/>
      <c r="Q928" s="48"/>
      <c r="R928" s="48"/>
      <c r="S928" s="48"/>
      <c r="T928" s="49"/>
      <c r="U928" s="1460" t="s">
        <v>543</v>
      </c>
      <c r="V928" s="1461"/>
      <c r="W928" s="1461"/>
      <c r="X928" s="1461"/>
      <c r="Y928" s="1461"/>
      <c r="Z928" s="1462"/>
      <c r="AA928" s="1488">
        <v>22000000</v>
      </c>
      <c r="AB928" s="1489"/>
      <c r="AC928" s="1489"/>
      <c r="AD928" s="1489"/>
      <c r="AE928" s="1489"/>
      <c r="AF928" s="1490"/>
      <c r="AZ928" s="34"/>
      <c r="BA928" s="34"/>
      <c r="BB928" s="34"/>
      <c r="BC928" s="34"/>
    </row>
    <row r="929" spans="6:55" ht="12.9" customHeight="1">
      <c r="F929" s="45" t="s">
        <v>799</v>
      </c>
      <c r="G929" s="5"/>
      <c r="H929" s="5"/>
      <c r="I929" s="5"/>
      <c r="J929" s="5"/>
      <c r="K929" s="5"/>
      <c r="L929" s="5"/>
      <c r="M929" s="5"/>
      <c r="N929" s="5"/>
      <c r="O929" s="5"/>
      <c r="P929" s="5"/>
      <c r="Q929" s="5"/>
      <c r="R929" s="5"/>
      <c r="S929" s="5"/>
      <c r="T929" s="46"/>
      <c r="U929" s="1460" t="s">
        <v>589</v>
      </c>
      <c r="V929" s="1461"/>
      <c r="W929" s="1461"/>
      <c r="X929" s="1461"/>
      <c r="Y929" s="1461"/>
      <c r="Z929" s="1462"/>
      <c r="AA929" s="1488"/>
      <c r="AB929" s="1489"/>
      <c r="AC929" s="1489"/>
      <c r="AD929" s="1489"/>
      <c r="AE929" s="1489"/>
      <c r="AF929" s="1490"/>
      <c r="AZ929" s="34"/>
      <c r="BA929" s="34"/>
      <c r="BB929" s="34"/>
      <c r="BC929" s="34"/>
    </row>
    <row r="930" spans="6:55" ht="12.9" customHeight="1">
      <c r="F930" s="45" t="s">
        <v>676</v>
      </c>
      <c r="G930" s="5"/>
      <c r="H930" s="5"/>
      <c r="I930" s="5"/>
      <c r="J930" s="5"/>
      <c r="K930" s="5"/>
      <c r="L930" s="5"/>
      <c r="M930" s="5"/>
      <c r="N930" s="5"/>
      <c r="O930" s="5"/>
      <c r="P930" s="5"/>
      <c r="Q930" s="5"/>
      <c r="R930" s="5"/>
      <c r="S930" s="5"/>
      <c r="T930" s="46"/>
      <c r="U930" s="1460" t="s">
        <v>589</v>
      </c>
      <c r="V930" s="1461"/>
      <c r="W930" s="1461"/>
      <c r="X930" s="1461"/>
      <c r="Y930" s="1461"/>
      <c r="Z930" s="1462"/>
      <c r="AA930" s="1488"/>
      <c r="AB930" s="1489"/>
      <c r="AC930" s="1489"/>
      <c r="AD930" s="1489"/>
      <c r="AE930" s="1489"/>
      <c r="AF930" s="1490"/>
      <c r="AZ930" s="34"/>
      <c r="BA930" s="34"/>
      <c r="BB930" s="34"/>
      <c r="BC930" s="34"/>
    </row>
    <row r="931" spans="6:55" ht="12.9" customHeight="1">
      <c r="F931" s="66" t="s">
        <v>784</v>
      </c>
      <c r="G931" s="5"/>
      <c r="H931" s="5"/>
      <c r="I931" s="5"/>
      <c r="J931" s="5"/>
      <c r="K931" s="5"/>
      <c r="L931" s="5"/>
      <c r="M931" s="5"/>
      <c r="N931" s="5"/>
      <c r="O931" s="5"/>
      <c r="P931" s="5"/>
      <c r="Q931" s="5"/>
      <c r="R931" s="5"/>
      <c r="S931" s="5"/>
      <c r="T931" s="46"/>
      <c r="U931" s="1460" t="s">
        <v>589</v>
      </c>
      <c r="V931" s="1461"/>
      <c r="W931" s="1461"/>
      <c r="X931" s="1461"/>
      <c r="Y931" s="1461"/>
      <c r="Z931" s="1462"/>
      <c r="AA931" s="1488"/>
      <c r="AB931" s="1489"/>
      <c r="AC931" s="1489"/>
      <c r="AD931" s="1489"/>
      <c r="AE931" s="1489"/>
      <c r="AF931" s="1490"/>
      <c r="AZ931" s="34"/>
      <c r="BA931" s="34"/>
      <c r="BB931" s="34"/>
      <c r="BC931" s="34"/>
    </row>
    <row r="932" spans="6:55" ht="12.9" customHeight="1">
      <c r="F932" s="66" t="s">
        <v>785</v>
      </c>
      <c r="G932" s="5"/>
      <c r="H932" s="5"/>
      <c r="I932" s="5"/>
      <c r="J932" s="5"/>
      <c r="K932" s="5"/>
      <c r="L932" s="5"/>
      <c r="M932" s="5"/>
      <c r="N932" s="5"/>
      <c r="O932" s="5"/>
      <c r="P932" s="5"/>
      <c r="Q932" s="5"/>
      <c r="R932" s="5"/>
      <c r="S932" s="5"/>
      <c r="T932" s="46"/>
      <c r="U932" s="1460" t="s">
        <v>589</v>
      </c>
      <c r="V932" s="1461"/>
      <c r="W932" s="1461"/>
      <c r="X932" s="1461"/>
      <c r="Y932" s="1461"/>
      <c r="Z932" s="1462"/>
      <c r="AA932" s="1488"/>
      <c r="AB932" s="1489"/>
      <c r="AC932" s="1489"/>
      <c r="AD932" s="1489"/>
      <c r="AE932" s="1489"/>
      <c r="AF932" s="1490"/>
      <c r="AZ932" s="34"/>
      <c r="BA932" s="34"/>
      <c r="BB932" s="34"/>
      <c r="BC932" s="34"/>
    </row>
    <row r="933" spans="6:55" ht="12.9" customHeight="1">
      <c r="F933" s="66" t="s">
        <v>786</v>
      </c>
      <c r="G933" s="5"/>
      <c r="H933" s="5"/>
      <c r="I933" s="5"/>
      <c r="J933" s="5"/>
      <c r="K933" s="5"/>
      <c r="L933" s="5"/>
      <c r="M933" s="5"/>
      <c r="N933" s="5"/>
      <c r="O933" s="5"/>
      <c r="P933" s="5"/>
      <c r="Q933" s="5"/>
      <c r="R933" s="5"/>
      <c r="S933" s="5"/>
      <c r="T933" s="46"/>
      <c r="U933" s="1460" t="s">
        <v>589</v>
      </c>
      <c r="V933" s="1461"/>
      <c r="W933" s="1461"/>
      <c r="X933" s="1461"/>
      <c r="Y933" s="1461"/>
      <c r="Z933" s="1462"/>
      <c r="AA933" s="1488"/>
      <c r="AB933" s="1489"/>
      <c r="AC933" s="1489"/>
      <c r="AD933" s="1489"/>
      <c r="AE933" s="1489"/>
      <c r="AF933" s="1490"/>
      <c r="AZ933" s="34"/>
      <c r="BA933" s="34"/>
      <c r="BB933" s="34"/>
      <c r="BC933" s="34"/>
    </row>
    <row r="934" spans="6:55" ht="12.9" customHeight="1">
      <c r="F934" s="45" t="s">
        <v>675</v>
      </c>
      <c r="G934" s="5"/>
      <c r="H934" s="5"/>
      <c r="I934" s="5"/>
      <c r="J934" s="5"/>
      <c r="K934" s="5"/>
      <c r="L934" s="5"/>
      <c r="M934" s="5"/>
      <c r="N934" s="5"/>
      <c r="O934" s="5"/>
      <c r="P934" s="5"/>
      <c r="Q934" s="5"/>
      <c r="R934" s="5"/>
      <c r="S934" s="5"/>
      <c r="T934" s="46"/>
      <c r="U934" s="1460" t="s">
        <v>589</v>
      </c>
      <c r="V934" s="1461"/>
      <c r="W934" s="1461"/>
      <c r="X934" s="1461"/>
      <c r="Y934" s="1461"/>
      <c r="Z934" s="1462"/>
      <c r="AA934" s="1488"/>
      <c r="AB934" s="1489"/>
      <c r="AC934" s="1489"/>
      <c r="AD934" s="1489"/>
      <c r="AE934" s="1489"/>
      <c r="AF934" s="1490"/>
      <c r="AZ934" s="34"/>
      <c r="BA934" s="34"/>
      <c r="BB934" s="34"/>
      <c r="BC934" s="34"/>
    </row>
    <row r="935" spans="6:55" ht="12.9" customHeight="1">
      <c r="F935" s="1693" t="s">
        <v>2139</v>
      </c>
      <c r="G935" s="1694"/>
      <c r="H935" s="1694"/>
      <c r="I935" s="1694"/>
      <c r="J935" s="1694"/>
      <c r="K935" s="1694"/>
      <c r="L935" s="1694"/>
      <c r="M935" s="1694"/>
      <c r="N935" s="1694"/>
      <c r="O935" s="1694"/>
      <c r="P935" s="1694"/>
      <c r="Q935" s="1694"/>
      <c r="R935" s="1694"/>
      <c r="S935" s="1694"/>
      <c r="T935" s="1695"/>
      <c r="U935" s="1460" t="s">
        <v>589</v>
      </c>
      <c r="V935" s="1461"/>
      <c r="W935" s="1461"/>
      <c r="X935" s="1461"/>
      <c r="Y935" s="1461"/>
      <c r="Z935" s="1462"/>
      <c r="AA935" s="1488"/>
      <c r="AB935" s="1489"/>
      <c r="AC935" s="1489"/>
      <c r="AD935" s="1489"/>
      <c r="AE935" s="1489"/>
      <c r="AF935" s="1490"/>
      <c r="AZ935" s="34"/>
      <c r="BA935" s="34"/>
      <c r="BB935" s="34"/>
      <c r="BC935" s="34"/>
    </row>
    <row r="936" spans="6:55" ht="12.9" customHeight="1">
      <c r="F936" s="1693" t="s">
        <v>677</v>
      </c>
      <c r="G936" s="1694"/>
      <c r="H936" s="1694"/>
      <c r="I936" s="1694"/>
      <c r="J936" s="1694"/>
      <c r="K936" s="1694"/>
      <c r="L936" s="1694"/>
      <c r="M936" s="1694"/>
      <c r="N936" s="1694"/>
      <c r="O936" s="1694"/>
      <c r="P936" s="1694"/>
      <c r="Q936" s="1694"/>
      <c r="R936" s="1694"/>
      <c r="S936" s="1694"/>
      <c r="T936" s="1695"/>
      <c r="U936" s="1460" t="s">
        <v>589</v>
      </c>
      <c r="V936" s="1461"/>
      <c r="W936" s="1461"/>
      <c r="X936" s="1461"/>
      <c r="Y936" s="1461"/>
      <c r="Z936" s="1462"/>
      <c r="AA936" s="1488"/>
      <c r="AB936" s="1489"/>
      <c r="AC936" s="1489"/>
      <c r="AD936" s="1489"/>
      <c r="AE936" s="1489"/>
      <c r="AF936" s="1490"/>
      <c r="AU936" s="2"/>
      <c r="AZ936" s="34"/>
      <c r="BA936" s="34"/>
      <c r="BB936" s="34"/>
      <c r="BC936" s="34"/>
    </row>
    <row r="937" spans="6:55" ht="12.9" customHeight="1">
      <c r="F937" s="1693" t="s">
        <v>2140</v>
      </c>
      <c r="G937" s="1694"/>
      <c r="H937" s="1694"/>
      <c r="I937" s="1694"/>
      <c r="J937" s="1694"/>
      <c r="K937" s="1694"/>
      <c r="L937" s="1694"/>
      <c r="M937" s="1694"/>
      <c r="N937" s="1694"/>
      <c r="O937" s="1694"/>
      <c r="P937" s="1694"/>
      <c r="Q937" s="1694"/>
      <c r="R937" s="1694"/>
      <c r="S937" s="1694"/>
      <c r="T937" s="1695"/>
      <c r="U937" s="1460" t="s">
        <v>589</v>
      </c>
      <c r="V937" s="1461"/>
      <c r="W937" s="1461"/>
      <c r="X937" s="1461"/>
      <c r="Y937" s="1461"/>
      <c r="Z937" s="1462"/>
      <c r="AA937" s="1488"/>
      <c r="AB937" s="1489"/>
      <c r="AC937" s="1489"/>
      <c r="AD937" s="1489"/>
      <c r="AE937" s="1489"/>
      <c r="AF937" s="1490"/>
      <c r="AU937" s="2"/>
      <c r="AZ937" s="34"/>
      <c r="BA937" s="34"/>
      <c r="BB937" s="34"/>
      <c r="BC937" s="34"/>
    </row>
    <row r="938" spans="6:55" ht="12.9" customHeight="1">
      <c r="F938" s="1693" t="s">
        <v>2141</v>
      </c>
      <c r="G938" s="1694"/>
      <c r="H938" s="1694"/>
      <c r="I938" s="1694"/>
      <c r="J938" s="1694"/>
      <c r="K938" s="1694"/>
      <c r="L938" s="1694"/>
      <c r="M938" s="1694"/>
      <c r="N938" s="1694"/>
      <c r="O938" s="1694"/>
      <c r="P938" s="1694"/>
      <c r="Q938" s="1694"/>
      <c r="R938" s="1694"/>
      <c r="S938" s="1694"/>
      <c r="T938" s="1695"/>
      <c r="U938" s="1460" t="s">
        <v>589</v>
      </c>
      <c r="V938" s="1461"/>
      <c r="W938" s="1461"/>
      <c r="X938" s="1461"/>
      <c r="Y938" s="1461"/>
      <c r="Z938" s="1462"/>
      <c r="AA938" s="1488"/>
      <c r="AB938" s="1489"/>
      <c r="AC938" s="1489"/>
      <c r="AD938" s="1489"/>
      <c r="AE938" s="1489"/>
      <c r="AF938" s="1490"/>
      <c r="AU938" s="2"/>
      <c r="AZ938" s="34"/>
      <c r="BA938" s="34"/>
      <c r="BB938" s="34"/>
      <c r="BC938" s="34"/>
    </row>
    <row r="939" spans="6:55" ht="12.9" customHeight="1">
      <c r="F939" s="1693" t="s">
        <v>2142</v>
      </c>
      <c r="G939" s="1694"/>
      <c r="H939" s="1694"/>
      <c r="I939" s="1694"/>
      <c r="J939" s="1694"/>
      <c r="K939" s="1694"/>
      <c r="L939" s="1694"/>
      <c r="M939" s="1694"/>
      <c r="N939" s="1694"/>
      <c r="O939" s="1694"/>
      <c r="P939" s="1694"/>
      <c r="Q939" s="1694"/>
      <c r="R939" s="1694"/>
      <c r="S939" s="1694"/>
      <c r="T939" s="1695"/>
      <c r="U939" s="1460" t="s">
        <v>589</v>
      </c>
      <c r="V939" s="1461"/>
      <c r="W939" s="1461"/>
      <c r="X939" s="1461"/>
      <c r="Y939" s="1461"/>
      <c r="Z939" s="1462"/>
      <c r="AA939" s="1488"/>
      <c r="AB939" s="1489"/>
      <c r="AC939" s="1489"/>
      <c r="AD939" s="1489"/>
      <c r="AE939" s="1489"/>
      <c r="AF939" s="1490"/>
      <c r="AU939" s="2"/>
      <c r="AZ939" s="34"/>
      <c r="BA939" s="34"/>
      <c r="BB939" s="34"/>
      <c r="BC939" s="34"/>
    </row>
    <row r="940" spans="6:55" ht="12.9" customHeight="1">
      <c r="F940" s="1693" t="s">
        <v>2143</v>
      </c>
      <c r="G940" s="1694"/>
      <c r="H940" s="1694"/>
      <c r="I940" s="1694"/>
      <c r="J940" s="1694"/>
      <c r="K940" s="1694"/>
      <c r="L940" s="1694"/>
      <c r="M940" s="1694"/>
      <c r="N940" s="1694"/>
      <c r="O940" s="1694"/>
      <c r="P940" s="1694"/>
      <c r="Q940" s="1694"/>
      <c r="R940" s="1694"/>
      <c r="S940" s="1694"/>
      <c r="T940" s="1695"/>
      <c r="U940" s="1460" t="s">
        <v>589</v>
      </c>
      <c r="V940" s="1461"/>
      <c r="W940" s="1461"/>
      <c r="X940" s="1461"/>
      <c r="Y940" s="1461"/>
      <c r="Z940" s="1462"/>
      <c r="AA940" s="1488"/>
      <c r="AB940" s="1489"/>
      <c r="AC940" s="1489"/>
      <c r="AD940" s="1489"/>
      <c r="AE940" s="1489"/>
      <c r="AF940" s="1490"/>
      <c r="AU940" s="2"/>
      <c r="AZ940" s="34"/>
      <c r="BA940" s="34"/>
      <c r="BB940" s="34"/>
      <c r="BC940" s="34"/>
    </row>
    <row r="941" spans="6:55" ht="12.9" customHeight="1">
      <c r="F941" s="1693" t="s">
        <v>2144</v>
      </c>
      <c r="G941" s="1694"/>
      <c r="H941" s="1694"/>
      <c r="I941" s="1694"/>
      <c r="J941" s="1694"/>
      <c r="K941" s="1694"/>
      <c r="L941" s="1694"/>
      <c r="M941" s="1694"/>
      <c r="N941" s="1694"/>
      <c r="O941" s="1694"/>
      <c r="P941" s="1694"/>
      <c r="Q941" s="1694"/>
      <c r="R941" s="1694"/>
      <c r="S941" s="1694"/>
      <c r="T941" s="1695"/>
      <c r="U941" s="1460" t="s">
        <v>589</v>
      </c>
      <c r="V941" s="1461"/>
      <c r="W941" s="1461"/>
      <c r="X941" s="1461"/>
      <c r="Y941" s="1461"/>
      <c r="Z941" s="1462"/>
      <c r="AA941" s="1488"/>
      <c r="AB941" s="1489"/>
      <c r="AC941" s="1489"/>
      <c r="AD941" s="1489"/>
      <c r="AE941" s="1489"/>
      <c r="AF941" s="1490"/>
      <c r="AZ941" s="30"/>
      <c r="BA941" s="30"/>
    </row>
    <row r="942" spans="6:55" ht="12.9" customHeight="1">
      <c r="F942" s="178" t="s">
        <v>674</v>
      </c>
      <c r="G942" s="5"/>
      <c r="H942" s="5"/>
      <c r="I942" s="5"/>
      <c r="J942" s="5"/>
      <c r="K942" s="5"/>
      <c r="L942" s="5"/>
      <c r="M942" s="5"/>
      <c r="N942" s="5"/>
      <c r="O942" s="5"/>
      <c r="P942" s="5"/>
      <c r="Q942" s="5"/>
      <c r="R942" s="5"/>
      <c r="S942" s="5"/>
      <c r="T942" s="46"/>
      <c r="U942" s="1460" t="s">
        <v>589</v>
      </c>
      <c r="V942" s="1461"/>
      <c r="W942" s="1461"/>
      <c r="X942" s="1461"/>
      <c r="Y942" s="1461"/>
      <c r="Z942" s="1462"/>
      <c r="AA942" s="1488"/>
      <c r="AB942" s="1489"/>
      <c r="AC942" s="1489"/>
      <c r="AD942" s="1489"/>
      <c r="AE942" s="1489"/>
      <c r="AF942" s="1490"/>
    </row>
    <row r="943" spans="6:55" ht="12.9" customHeight="1">
      <c r="F943" s="121" t="s">
        <v>1274</v>
      </c>
      <c r="G943" s="5"/>
      <c r="H943" s="5"/>
      <c r="I943" s="5"/>
      <c r="J943" s="5"/>
      <c r="K943" s="5"/>
      <c r="L943" s="5"/>
      <c r="M943" s="5"/>
      <c r="N943" s="5"/>
      <c r="O943" s="5"/>
      <c r="P943" s="5"/>
      <c r="Q943" s="5"/>
      <c r="R943" s="5"/>
      <c r="S943" s="5"/>
      <c r="T943" s="46"/>
      <c r="U943" s="1460" t="s">
        <v>589</v>
      </c>
      <c r="V943" s="1461"/>
      <c r="W943" s="1461"/>
      <c r="X943" s="1461"/>
      <c r="Y943" s="1461"/>
      <c r="Z943" s="1462"/>
      <c r="AA943" s="1488"/>
      <c r="AB943" s="1489"/>
      <c r="AC943" s="1489"/>
      <c r="AD943" s="1489"/>
      <c r="AE943" s="1489"/>
      <c r="AF943" s="1490"/>
      <c r="AZ943" s="30"/>
      <c r="BA943" s="14"/>
    </row>
    <row r="944" spans="6:55" ht="12.9" customHeight="1">
      <c r="F944" s="66" t="s">
        <v>800</v>
      </c>
      <c r="G944" s="5"/>
      <c r="H944" s="5"/>
      <c r="I944" s="5"/>
      <c r="J944" s="5"/>
      <c r="K944" s="5"/>
      <c r="L944" s="5"/>
      <c r="M944" s="5"/>
      <c r="N944" s="5"/>
      <c r="O944" s="5"/>
      <c r="P944" s="5"/>
      <c r="Q944" s="5"/>
      <c r="R944" s="5"/>
      <c r="S944" s="5"/>
      <c r="T944" s="46"/>
      <c r="U944" s="1460" t="s">
        <v>589</v>
      </c>
      <c r="V944" s="1461"/>
      <c r="W944" s="1461"/>
      <c r="X944" s="1461"/>
      <c r="Y944" s="1461"/>
      <c r="Z944" s="1462"/>
      <c r="AA944" s="1488"/>
      <c r="AB944" s="1489"/>
      <c r="AC944" s="1489"/>
      <c r="AD944" s="1489"/>
      <c r="AE944" s="1489"/>
      <c r="AF944" s="1490"/>
      <c r="AZ944" s="30"/>
      <c r="BA944" s="14"/>
    </row>
    <row r="945" spans="6:55" ht="12.9" customHeight="1">
      <c r="F945" s="1729" t="s">
        <v>2148</v>
      </c>
      <c r="G945" s="1730"/>
      <c r="H945" s="1730"/>
      <c r="I945" s="1730"/>
      <c r="J945" s="1730"/>
      <c r="K945" s="1730"/>
      <c r="L945" s="1730"/>
      <c r="M945" s="1730"/>
      <c r="N945" s="1730"/>
      <c r="O945" s="1730"/>
      <c r="P945" s="1730"/>
      <c r="Q945" s="1730"/>
      <c r="R945" s="1730"/>
      <c r="S945" s="1730"/>
      <c r="T945" s="1731"/>
      <c r="U945" s="1460" t="s">
        <v>589</v>
      </c>
      <c r="V945" s="1461"/>
      <c r="W945" s="1461"/>
      <c r="X945" s="1461"/>
      <c r="Y945" s="1461"/>
      <c r="Z945" s="1462"/>
      <c r="AA945" s="1488"/>
      <c r="AB945" s="1489"/>
      <c r="AC945" s="1489"/>
      <c r="AD945" s="1489"/>
      <c r="AE945" s="1489"/>
      <c r="AF945" s="1490"/>
      <c r="AZ945" s="30"/>
      <c r="BA945" s="14"/>
    </row>
    <row r="946" spans="6:55" ht="12.9" customHeight="1">
      <c r="F946" s="1729" t="s">
        <v>2149</v>
      </c>
      <c r="G946" s="1730"/>
      <c r="H946" s="1730"/>
      <c r="I946" s="1730"/>
      <c r="J946" s="1730"/>
      <c r="K946" s="1730"/>
      <c r="L946" s="1730"/>
      <c r="M946" s="1730"/>
      <c r="N946" s="1730"/>
      <c r="O946" s="1730"/>
      <c r="P946" s="1730"/>
      <c r="Q946" s="1730"/>
      <c r="R946" s="1730"/>
      <c r="S946" s="1730"/>
      <c r="T946" s="1731"/>
      <c r="U946" s="1460" t="s">
        <v>589</v>
      </c>
      <c r="V946" s="1461"/>
      <c r="W946" s="1461"/>
      <c r="X946" s="1461"/>
      <c r="Y946" s="1461"/>
      <c r="Z946" s="1462"/>
      <c r="AA946" s="1488"/>
      <c r="AB946" s="1489"/>
      <c r="AC946" s="1489"/>
      <c r="AD946" s="1489"/>
      <c r="AE946" s="1489"/>
      <c r="AF946" s="1490"/>
      <c r="AZ946" s="30"/>
      <c r="BA946" s="30"/>
    </row>
    <row r="947" spans="6:55" ht="12.9" customHeight="1">
      <c r="F947" s="1693" t="s">
        <v>2145</v>
      </c>
      <c r="G947" s="1694"/>
      <c r="H947" s="1694"/>
      <c r="I947" s="1694"/>
      <c r="J947" s="1694"/>
      <c r="K947" s="1694"/>
      <c r="L947" s="1694"/>
      <c r="M947" s="1694"/>
      <c r="N947" s="1694"/>
      <c r="O947" s="1694"/>
      <c r="P947" s="1694"/>
      <c r="Q947" s="1694"/>
      <c r="R947" s="1694"/>
      <c r="S947" s="1694"/>
      <c r="T947" s="1695"/>
      <c r="U947" s="1460" t="s">
        <v>589</v>
      </c>
      <c r="V947" s="1461"/>
      <c r="W947" s="1461"/>
      <c r="X947" s="1461"/>
      <c r="Y947" s="1461"/>
      <c r="Z947" s="1462"/>
      <c r="AA947" s="1488"/>
      <c r="AB947" s="1489"/>
      <c r="AC947" s="1489"/>
      <c r="AD947" s="1489"/>
      <c r="AE947" s="1489"/>
      <c r="AF947" s="1490"/>
      <c r="AZ947" s="30"/>
      <c r="BA947" s="30"/>
    </row>
    <row r="948" spans="6:55" ht="12.9" customHeight="1">
      <c r="F948" s="1693" t="s">
        <v>2146</v>
      </c>
      <c r="G948" s="1694"/>
      <c r="H948" s="1694"/>
      <c r="I948" s="1694"/>
      <c r="J948" s="1694"/>
      <c r="K948" s="1694"/>
      <c r="L948" s="1694"/>
      <c r="M948" s="1694"/>
      <c r="N948" s="1694"/>
      <c r="O948" s="1694"/>
      <c r="P948" s="1694"/>
      <c r="Q948" s="1694"/>
      <c r="R948" s="1694"/>
      <c r="S948" s="1694"/>
      <c r="T948" s="1695"/>
      <c r="U948" s="1460" t="s">
        <v>589</v>
      </c>
      <c r="V948" s="1461"/>
      <c r="W948" s="1461"/>
      <c r="X948" s="1461"/>
      <c r="Y948" s="1461"/>
      <c r="Z948" s="1462"/>
      <c r="AA948" s="1488"/>
      <c r="AB948" s="1489"/>
      <c r="AC948" s="1489"/>
      <c r="AD948" s="1489"/>
      <c r="AE948" s="1489"/>
      <c r="AF948" s="1490"/>
      <c r="AZ948" s="30"/>
      <c r="BA948" s="30"/>
    </row>
    <row r="949" spans="6:55" ht="12.9" customHeight="1">
      <c r="F949" s="1693" t="s">
        <v>2147</v>
      </c>
      <c r="G949" s="1694"/>
      <c r="H949" s="1694"/>
      <c r="I949" s="1694"/>
      <c r="J949" s="1694"/>
      <c r="K949" s="1694"/>
      <c r="L949" s="1694"/>
      <c r="M949" s="1694"/>
      <c r="N949" s="1694"/>
      <c r="O949" s="1694"/>
      <c r="P949" s="1694"/>
      <c r="Q949" s="1694"/>
      <c r="R949" s="1694"/>
      <c r="S949" s="1694"/>
      <c r="T949" s="1695"/>
      <c r="U949" s="1460" t="s">
        <v>589</v>
      </c>
      <c r="V949" s="1461"/>
      <c r="W949" s="1461"/>
      <c r="X949" s="1461"/>
      <c r="Y949" s="1461"/>
      <c r="Z949" s="1462"/>
      <c r="AA949" s="1488"/>
      <c r="AB949" s="1489"/>
      <c r="AC949" s="1489"/>
      <c r="AD949" s="1489"/>
      <c r="AE949" s="1489"/>
      <c r="AF949" s="1490"/>
      <c r="AZ949" s="34"/>
      <c r="BA949" s="34"/>
      <c r="BB949" s="14"/>
      <c r="BC949" s="14"/>
    </row>
    <row r="950" spans="6:55" ht="12.9" customHeight="1">
      <c r="F950" s="121" t="s">
        <v>1258</v>
      </c>
      <c r="G950" s="5"/>
      <c r="H950" s="5"/>
      <c r="I950" s="5"/>
      <c r="J950" s="5"/>
      <c r="K950" s="5"/>
      <c r="L950" s="5"/>
      <c r="M950" s="5"/>
      <c r="N950" s="5"/>
      <c r="O950" s="5"/>
      <c r="P950" s="5"/>
      <c r="Q950" s="5"/>
      <c r="R950" s="5"/>
      <c r="S950" s="5"/>
      <c r="T950" s="46"/>
      <c r="U950" s="1460" t="s">
        <v>589</v>
      </c>
      <c r="V950" s="1461"/>
      <c r="W950" s="1461"/>
      <c r="X950" s="1461"/>
      <c r="Y950" s="1461"/>
      <c r="Z950" s="1462"/>
      <c r="AA950" s="1488"/>
      <c r="AB950" s="1489"/>
      <c r="AC950" s="1489"/>
      <c r="AD950" s="1489"/>
      <c r="AE950" s="1489"/>
      <c r="AF950" s="1490"/>
      <c r="AZ950" s="34"/>
      <c r="BA950" s="34"/>
      <c r="BB950" s="14"/>
      <c r="BC950" s="14"/>
    </row>
    <row r="951" spans="6:55" ht="12.9" customHeight="1">
      <c r="F951" s="1729" t="s">
        <v>2150</v>
      </c>
      <c r="G951" s="1730"/>
      <c r="H951" s="1730"/>
      <c r="I951" s="1730"/>
      <c r="J951" s="1730"/>
      <c r="K951" s="1730"/>
      <c r="L951" s="1730"/>
      <c r="M951" s="1730"/>
      <c r="N951" s="1730"/>
      <c r="O951" s="1730"/>
      <c r="P951" s="1730"/>
      <c r="Q951" s="1730"/>
      <c r="R951" s="1730"/>
      <c r="S951" s="1730"/>
      <c r="T951" s="1731"/>
      <c r="U951" s="1460" t="s">
        <v>589</v>
      </c>
      <c r="V951" s="1461"/>
      <c r="W951" s="1461"/>
      <c r="X951" s="1461"/>
      <c r="Y951" s="1461"/>
      <c r="Z951" s="1462"/>
      <c r="AA951" s="1488"/>
      <c r="AB951" s="1489"/>
      <c r="AC951" s="1489"/>
      <c r="AD951" s="1489"/>
      <c r="AE951" s="1489"/>
      <c r="AF951" s="1490"/>
      <c r="AZ951" s="34"/>
      <c r="BA951" s="34"/>
      <c r="BB951" s="34"/>
      <c r="BC951" s="34"/>
    </row>
    <row r="952" spans="6:55" ht="12.9" customHeight="1">
      <c r="F952" s="121" t="s">
        <v>1259</v>
      </c>
      <c r="G952" s="5"/>
      <c r="H952" s="5"/>
      <c r="I952" s="5"/>
      <c r="J952" s="5"/>
      <c r="K952" s="5"/>
      <c r="L952" s="5"/>
      <c r="M952" s="5"/>
      <c r="N952" s="5"/>
      <c r="O952" s="5"/>
      <c r="P952" s="5"/>
      <c r="Q952" s="5"/>
      <c r="R952" s="5"/>
      <c r="S952" s="5"/>
      <c r="T952" s="46"/>
      <c r="U952" s="1460" t="s">
        <v>589</v>
      </c>
      <c r="V952" s="1461"/>
      <c r="W952" s="1461"/>
      <c r="X952" s="1461"/>
      <c r="Y952" s="1461"/>
      <c r="Z952" s="1462"/>
      <c r="AA952" s="1488"/>
      <c r="AB952" s="1489"/>
      <c r="AC952" s="1489"/>
      <c r="AD952" s="1489"/>
      <c r="AE952" s="1489"/>
      <c r="AF952" s="1490"/>
      <c r="AZ952" s="34"/>
      <c r="BA952" s="34"/>
      <c r="BB952" s="34"/>
      <c r="BC952" s="34"/>
    </row>
    <row r="953" spans="6:55" ht="12.9" customHeight="1">
      <c r="F953" s="1729" t="s">
        <v>2151</v>
      </c>
      <c r="G953" s="1730"/>
      <c r="H953" s="1730"/>
      <c r="I953" s="1730"/>
      <c r="J953" s="1730"/>
      <c r="K953" s="1730"/>
      <c r="L953" s="1730"/>
      <c r="M953" s="1730"/>
      <c r="N953" s="1730"/>
      <c r="O953" s="1730"/>
      <c r="P953" s="1730"/>
      <c r="Q953" s="1730"/>
      <c r="R953" s="1730"/>
      <c r="S953" s="1730"/>
      <c r="T953" s="1731"/>
      <c r="U953" s="1460" t="s">
        <v>589</v>
      </c>
      <c r="V953" s="1461"/>
      <c r="W953" s="1461"/>
      <c r="X953" s="1461"/>
      <c r="Y953" s="1461"/>
      <c r="Z953" s="1462"/>
      <c r="AA953" s="1488"/>
      <c r="AB953" s="1489"/>
      <c r="AC953" s="1489"/>
      <c r="AD953" s="1489"/>
      <c r="AE953" s="1489"/>
      <c r="AF953" s="1490"/>
      <c r="AZ953" s="34"/>
      <c r="BA953" s="34"/>
      <c r="BB953" s="34"/>
      <c r="BC953" s="34"/>
    </row>
    <row r="954" spans="6:55" ht="12.9" customHeight="1">
      <c r="F954" s="45" t="s">
        <v>804</v>
      </c>
      <c r="G954" s="5"/>
      <c r="H954" s="5"/>
      <c r="I954" s="5"/>
      <c r="J954" s="5"/>
      <c r="K954" s="5"/>
      <c r="L954" s="5"/>
      <c r="M954" s="5"/>
      <c r="N954" s="5"/>
      <c r="O954" s="5"/>
      <c r="P954" s="1460" t="s">
        <v>667</v>
      </c>
      <c r="Q954" s="1461"/>
      <c r="R954" s="1461"/>
      <c r="S954" s="1461"/>
      <c r="T954" s="1462"/>
      <c r="U954" s="1460" t="s">
        <v>589</v>
      </c>
      <c r="V954" s="1461"/>
      <c r="W954" s="1461"/>
      <c r="X954" s="1461"/>
      <c r="Y954" s="1461"/>
      <c r="Z954" s="1462"/>
      <c r="AA954" s="1488"/>
      <c r="AB954" s="1489"/>
      <c r="AC954" s="1489"/>
      <c r="AD954" s="1489"/>
      <c r="AE954" s="1489"/>
      <c r="AF954" s="1490"/>
      <c r="AZ954" s="34"/>
      <c r="BA954" s="34"/>
      <c r="BB954" s="34"/>
      <c r="BC954" s="34"/>
    </row>
    <row r="955" spans="6:55" ht="12.9" customHeight="1">
      <c r="F955" s="1693" t="s">
        <v>2138</v>
      </c>
      <c r="G955" s="1694"/>
      <c r="H955" s="1695"/>
      <c r="I955" s="1686" t="s">
        <v>2786</v>
      </c>
      <c r="J955" s="1727"/>
      <c r="K955" s="1727"/>
      <c r="L955" s="1727"/>
      <c r="M955" s="1727"/>
      <c r="N955" s="1727"/>
      <c r="O955" s="1727"/>
      <c r="P955" s="1727"/>
      <c r="Q955" s="1727"/>
      <c r="R955" s="1727"/>
      <c r="S955" s="1727"/>
      <c r="T955" s="1728"/>
      <c r="U955" s="1460" t="s">
        <v>543</v>
      </c>
      <c r="V955" s="1461"/>
      <c r="W955" s="1461"/>
      <c r="X955" s="1461"/>
      <c r="Y955" s="1461"/>
      <c r="Z955" s="1462"/>
      <c r="AA955" s="1488">
        <v>32757730</v>
      </c>
      <c r="AB955" s="1489"/>
      <c r="AC955" s="1489"/>
      <c r="AD955" s="1489"/>
      <c r="AE955" s="1489"/>
      <c r="AF955" s="1490"/>
      <c r="AZ955" s="34"/>
      <c r="BA955" s="34"/>
      <c r="BB955" s="34"/>
      <c r="BC955" s="34"/>
    </row>
    <row r="956" spans="6:55" ht="12.9" customHeight="1">
      <c r="F956" s="45" t="s">
        <v>86</v>
      </c>
      <c r="G956" s="48"/>
      <c r="H956" s="48"/>
      <c r="I956" s="1686" t="s">
        <v>2787</v>
      </c>
      <c r="J956" s="1727"/>
      <c r="K956" s="1727"/>
      <c r="L956" s="1727"/>
      <c r="M956" s="1727"/>
      <c r="N956" s="1727"/>
      <c r="O956" s="1727"/>
      <c r="P956" s="1727"/>
      <c r="Q956" s="1727"/>
      <c r="R956" s="1727"/>
      <c r="S956" s="1727"/>
      <c r="T956" s="1728"/>
      <c r="U956" s="1460" t="s">
        <v>543</v>
      </c>
      <c r="V956" s="1461"/>
      <c r="W956" s="1461"/>
      <c r="X956" s="1461"/>
      <c r="Y956" s="1461"/>
      <c r="Z956" s="1462"/>
      <c r="AA956" s="1488">
        <v>5000000</v>
      </c>
      <c r="AB956" s="1489"/>
      <c r="AC956" s="1489"/>
      <c r="AD956" s="1489"/>
      <c r="AE956" s="1489"/>
      <c r="AF956" s="1490"/>
      <c r="AZ956" s="34"/>
      <c r="BA956" s="34"/>
      <c r="BB956" s="34"/>
      <c r="BC956" s="34"/>
    </row>
    <row r="957" spans="6:55" ht="12.9" customHeight="1">
      <c r="F957" s="45" t="s">
        <v>10</v>
      </c>
      <c r="G957" s="48"/>
      <c r="H957" s="48"/>
      <c r="I957" s="1686" t="s">
        <v>334</v>
      </c>
      <c r="J957" s="1687"/>
      <c r="K957" s="1687"/>
      <c r="L957" s="1687"/>
      <c r="M957" s="1687"/>
      <c r="N957" s="1687"/>
      <c r="O957" s="1687"/>
      <c r="P957" s="1687"/>
      <c r="Q957" s="1687"/>
      <c r="R957" s="1687"/>
      <c r="S957" s="1687"/>
      <c r="T957" s="1688"/>
      <c r="U957" s="1460" t="s">
        <v>589</v>
      </c>
      <c r="V957" s="1461"/>
      <c r="W957" s="1461"/>
      <c r="X957" s="1461"/>
      <c r="Y957" s="1461"/>
      <c r="Z957" s="1462"/>
      <c r="AA957" s="1488"/>
      <c r="AB957" s="1489"/>
      <c r="AC957" s="1489"/>
      <c r="AD957" s="1489"/>
      <c r="AE957" s="1489"/>
      <c r="AF957" s="1490"/>
      <c r="AV957" s="2"/>
      <c r="AW957" s="2"/>
      <c r="AX957" s="2"/>
      <c r="AY957" s="2"/>
      <c r="AZ957" s="34"/>
      <c r="BA957" s="34"/>
      <c r="BB957" s="34"/>
      <c r="BC957" s="34"/>
    </row>
    <row r="958" spans="6:55" ht="12.9" customHeight="1">
      <c r="F958" s="47" t="s">
        <v>170</v>
      </c>
      <c r="G958" s="48"/>
      <c r="H958" s="48"/>
      <c r="I958" s="1686" t="s">
        <v>334</v>
      </c>
      <c r="J958" s="1687"/>
      <c r="K958" s="1687"/>
      <c r="L958" s="1687"/>
      <c r="M958" s="1687"/>
      <c r="N958" s="1687"/>
      <c r="O958" s="1687"/>
      <c r="P958" s="1687"/>
      <c r="Q958" s="1687"/>
      <c r="R958" s="1687"/>
      <c r="S958" s="1687"/>
      <c r="T958" s="1688"/>
      <c r="U958" s="1460" t="s">
        <v>589</v>
      </c>
      <c r="V958" s="1461"/>
      <c r="W958" s="1461"/>
      <c r="X958" s="1461"/>
      <c r="Y958" s="1461"/>
      <c r="Z958" s="1462"/>
      <c r="AA958" s="1488"/>
      <c r="AB958" s="1489"/>
      <c r="AC958" s="1489"/>
      <c r="AD958" s="1489"/>
      <c r="AE958" s="1489"/>
      <c r="AF958" s="1490"/>
      <c r="AU958" s="2"/>
      <c r="AZ958" s="34"/>
      <c r="BA958" s="34"/>
      <c r="BB958" s="34"/>
      <c r="BC958" s="34"/>
    </row>
    <row r="959" spans="6:55" ht="12.9" customHeight="1">
      <c r="F959" s="47" t="s">
        <v>170</v>
      </c>
      <c r="G959" s="48"/>
      <c r="H959" s="48"/>
      <c r="I959" s="1686" t="s">
        <v>2829</v>
      </c>
      <c r="J959" s="1687"/>
      <c r="K959" s="1687"/>
      <c r="L959" s="1687"/>
      <c r="M959" s="1687"/>
      <c r="N959" s="1687"/>
      <c r="O959" s="1687"/>
      <c r="P959" s="1687"/>
      <c r="Q959" s="1687"/>
      <c r="R959" s="1687"/>
      <c r="S959" s="1687"/>
      <c r="T959" s="1688"/>
      <c r="U959" s="1460" t="s">
        <v>543</v>
      </c>
      <c r="V959" s="1461"/>
      <c r="W959" s="1461"/>
      <c r="X959" s="1461"/>
      <c r="Y959" s="1461"/>
      <c r="Z959" s="1462"/>
      <c r="AA959" s="1488">
        <v>10900000</v>
      </c>
      <c r="AB959" s="1489"/>
      <c r="AC959" s="1489"/>
      <c r="AD959" s="1489"/>
      <c r="AE959" s="1489"/>
      <c r="AF959" s="1490"/>
      <c r="AU959" s="2"/>
      <c r="AZ959" s="34"/>
      <c r="BA959" s="34"/>
      <c r="BB959" s="34"/>
      <c r="BC959" s="34"/>
    </row>
    <row r="960" spans="6:55" ht="12.9" customHeight="1">
      <c r="AU960" s="2"/>
      <c r="AZ960" s="34"/>
      <c r="BA960" s="34"/>
      <c r="BB960" s="34"/>
      <c r="BC960" s="34"/>
    </row>
    <row r="961" spans="1:64" ht="12.9" customHeight="1">
      <c r="A961" s="2" t="s">
        <v>574</v>
      </c>
      <c r="C961" s="2" t="s">
        <v>749</v>
      </c>
      <c r="AZ961" s="34"/>
      <c r="BA961" s="34"/>
      <c r="BB961" s="34"/>
      <c r="BC961" s="34"/>
    </row>
    <row r="962" spans="1:64" ht="12.9"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 customHeight="1">
      <c r="AZ963" s="34"/>
      <c r="BA963" s="34"/>
      <c r="BB963" s="34"/>
      <c r="BC963" s="34"/>
    </row>
    <row r="964" spans="1:64" ht="12.9" customHeight="1">
      <c r="C964" s="66" t="s">
        <v>11</v>
      </c>
      <c r="D964" s="5"/>
      <c r="E964" s="5"/>
      <c r="F964" s="5"/>
      <c r="G964" s="5"/>
      <c r="H964" s="5"/>
      <c r="I964" s="5"/>
      <c r="J964" s="5"/>
      <c r="K964" s="5"/>
      <c r="L964" s="46"/>
      <c r="M964" s="1683"/>
      <c r="N964" s="1684"/>
      <c r="O964" s="1684"/>
      <c r="P964" s="1684"/>
      <c r="Q964" s="1684"/>
      <c r="R964" s="1684"/>
      <c r="S964" s="1685"/>
      <c r="U964" s="66" t="s">
        <v>11</v>
      </c>
      <c r="V964" s="5"/>
      <c r="W964" s="5"/>
      <c r="X964" s="5"/>
      <c r="Y964" s="5"/>
      <c r="Z964" s="5"/>
      <c r="AA964" s="5"/>
      <c r="AB964" s="5"/>
      <c r="AC964" s="5"/>
      <c r="AD964" s="46"/>
      <c r="AE964" s="1683"/>
      <c r="AF964" s="1684"/>
      <c r="AG964" s="1684"/>
      <c r="AH964" s="1684"/>
      <c r="AI964" s="1684"/>
      <c r="AJ964" s="1684"/>
      <c r="AK964" s="1685"/>
      <c r="AZ964" s="34"/>
      <c r="BA964" s="34"/>
      <c r="BB964" s="34"/>
      <c r="BC964" s="34"/>
    </row>
    <row r="965" spans="1:64" ht="12.9" customHeight="1">
      <c r="C965" s="66" t="s">
        <v>12</v>
      </c>
      <c r="D965" s="5"/>
      <c r="E965" s="5"/>
      <c r="F965" s="5"/>
      <c r="G965" s="5"/>
      <c r="H965" s="5"/>
      <c r="I965" s="5"/>
      <c r="J965" s="5"/>
      <c r="K965" s="5"/>
      <c r="L965" s="46"/>
      <c r="M965" s="1466"/>
      <c r="N965" s="1467"/>
      <c r="O965" s="1467"/>
      <c r="P965" s="1467"/>
      <c r="Q965" s="1467"/>
      <c r="R965" s="1467"/>
      <c r="S965" s="1468"/>
      <c r="U965" s="66" t="s">
        <v>12</v>
      </c>
      <c r="V965" s="5"/>
      <c r="W965" s="5"/>
      <c r="X965" s="5"/>
      <c r="Y965" s="5"/>
      <c r="Z965" s="5"/>
      <c r="AA965" s="5"/>
      <c r="AB965" s="5"/>
      <c r="AC965" s="5"/>
      <c r="AD965" s="46"/>
      <c r="AE965" s="1466"/>
      <c r="AF965" s="1467"/>
      <c r="AG965" s="1467"/>
      <c r="AH965" s="1467"/>
      <c r="AI965" s="1467"/>
      <c r="AJ965" s="1467"/>
      <c r="AK965" s="1468"/>
      <c r="AZ965" s="34"/>
      <c r="BA965" s="34"/>
      <c r="BB965" s="34"/>
      <c r="BC965" s="34"/>
    </row>
    <row r="966" spans="1:64" ht="12.9" customHeight="1">
      <c r="C966" s="66" t="s">
        <v>878</v>
      </c>
      <c r="D966" s="5"/>
      <c r="E966" s="5"/>
      <c r="J966" s="1469" t="s">
        <v>307</v>
      </c>
      <c r="K966" s="1470"/>
      <c r="L966" s="1470"/>
      <c r="M966" s="1470"/>
      <c r="N966" s="1470"/>
      <c r="O966" s="1470"/>
      <c r="P966" s="1470"/>
      <c r="Q966" s="1470"/>
      <c r="R966" s="1470"/>
      <c r="S966" s="1471"/>
      <c r="U966" s="66" t="s">
        <v>878</v>
      </c>
      <c r="V966" s="5"/>
      <c r="W966" s="5"/>
      <c r="AB966" s="1469" t="s">
        <v>307</v>
      </c>
      <c r="AC966" s="1470"/>
      <c r="AD966" s="1470"/>
      <c r="AE966" s="1470"/>
      <c r="AF966" s="1470"/>
      <c r="AG966" s="1470"/>
      <c r="AH966" s="1470"/>
      <c r="AI966" s="1470"/>
      <c r="AJ966" s="1470"/>
      <c r="AK966" s="1471"/>
      <c r="AZ966" s="34"/>
      <c r="BA966" s="34"/>
      <c r="BB966" s="34"/>
      <c r="BC966" s="34"/>
    </row>
    <row r="967" spans="1:64" ht="12.9" customHeight="1">
      <c r="C967" s="66" t="s">
        <v>13</v>
      </c>
      <c r="D967" s="5"/>
      <c r="E967" s="5"/>
      <c r="F967" s="5"/>
      <c r="G967" s="5"/>
      <c r="H967" s="5"/>
      <c r="I967" s="5"/>
      <c r="J967" s="5"/>
      <c r="K967" s="5"/>
      <c r="L967" s="46"/>
      <c r="M967" s="1748"/>
      <c r="N967" s="1720"/>
      <c r="O967" s="1720"/>
      <c r="P967" s="1720"/>
      <c r="Q967" s="1720"/>
      <c r="R967" s="1720"/>
      <c r="S967" s="1721"/>
      <c r="U967" s="66" t="s">
        <v>13</v>
      </c>
      <c r="V967" s="5"/>
      <c r="W967" s="5"/>
      <c r="X967" s="5"/>
      <c r="Y967" s="5"/>
      <c r="Z967" s="5"/>
      <c r="AA967" s="5"/>
      <c r="AB967" s="5"/>
      <c r="AC967" s="5"/>
      <c r="AD967" s="46"/>
      <c r="AE967" s="1719"/>
      <c r="AF967" s="1720"/>
      <c r="AG967" s="1720"/>
      <c r="AH967" s="1720"/>
      <c r="AI967" s="1720"/>
      <c r="AJ967" s="1720"/>
      <c r="AK967" s="1721"/>
      <c r="AZ967" s="34"/>
      <c r="BA967" s="34"/>
      <c r="BB967" s="34"/>
      <c r="BC967" s="34"/>
    </row>
    <row r="968" spans="1:64" ht="12.9" customHeight="1">
      <c r="C968" s="66" t="s">
        <v>14</v>
      </c>
      <c r="D968" s="5"/>
      <c r="E968" s="5"/>
      <c r="F968" s="5"/>
      <c r="G968" s="5"/>
      <c r="H968" s="5"/>
      <c r="I968" s="5"/>
      <c r="J968" s="5"/>
      <c r="K968" s="5"/>
      <c r="L968" s="46"/>
      <c r="M968" s="1724"/>
      <c r="N968" s="1725"/>
      <c r="O968" s="1725"/>
      <c r="P968" s="1725"/>
      <c r="Q968" s="1725"/>
      <c r="R968" s="1725"/>
      <c r="S968" s="1726"/>
      <c r="U968" s="66" t="s">
        <v>14</v>
      </c>
      <c r="V968" s="5"/>
      <c r="W968" s="5"/>
      <c r="X968" s="5"/>
      <c r="Y968" s="5"/>
      <c r="Z968" s="5"/>
      <c r="AA968" s="5"/>
      <c r="AB968" s="5"/>
      <c r="AC968" s="5"/>
      <c r="AD968" s="46"/>
      <c r="AE968" s="1724"/>
      <c r="AF968" s="1725"/>
      <c r="AG968" s="1725"/>
      <c r="AH968" s="1725"/>
      <c r="AI968" s="1725"/>
      <c r="AJ968" s="1725"/>
      <c r="AK968" s="1726"/>
      <c r="AV968" s="2"/>
      <c r="AW968" s="2"/>
      <c r="AX968" s="2"/>
      <c r="AY968" s="2"/>
      <c r="AZ968" s="34"/>
      <c r="BA968" s="34"/>
      <c r="BB968" s="34"/>
      <c r="BC968" s="34"/>
    </row>
    <row r="969" spans="1:64" ht="12.9" customHeight="1">
      <c r="C969" s="66" t="s">
        <v>15</v>
      </c>
      <c r="D969" s="5"/>
      <c r="E969" s="5"/>
      <c r="F969" s="5"/>
      <c r="G969" s="5"/>
      <c r="H969" s="5"/>
      <c r="I969" s="5"/>
      <c r="J969" s="5"/>
      <c r="K969" s="5"/>
      <c r="L969" s="46"/>
      <c r="M969" s="1488"/>
      <c r="N969" s="1489"/>
      <c r="O969" s="1489"/>
      <c r="P969" s="1489"/>
      <c r="Q969" s="1489"/>
      <c r="R969" s="1489"/>
      <c r="S969" s="1490"/>
      <c r="U969" s="66" t="s">
        <v>15</v>
      </c>
      <c r="V969" s="5"/>
      <c r="W969" s="5"/>
      <c r="X969" s="5"/>
      <c r="Y969" s="5"/>
      <c r="Z969" s="5"/>
      <c r="AA969" s="5"/>
      <c r="AB969" s="5"/>
      <c r="AC969" s="5"/>
      <c r="AD969" s="46"/>
      <c r="AE969" s="1488"/>
      <c r="AF969" s="1489"/>
      <c r="AG969" s="1489"/>
      <c r="AH969" s="1489"/>
      <c r="AI969" s="1489"/>
      <c r="AJ969" s="1489"/>
      <c r="AK969" s="1490"/>
      <c r="AV969" s="2"/>
      <c r="AW969" s="2"/>
      <c r="AX969" s="2"/>
      <c r="AY969" s="2"/>
      <c r="AZ969" s="34"/>
      <c r="BA969" s="34"/>
      <c r="BB969" s="34"/>
      <c r="BC969" s="34"/>
    </row>
    <row r="970" spans="1:64" ht="12.9" customHeight="1">
      <c r="C970" s="66" t="s">
        <v>16</v>
      </c>
      <c r="D970" s="5"/>
      <c r="E970" s="5"/>
      <c r="F970" s="5"/>
      <c r="G970" s="5"/>
      <c r="H970" s="5"/>
      <c r="I970" s="5"/>
      <c r="J970" s="5"/>
      <c r="K970" s="5"/>
      <c r="L970" s="46"/>
      <c r="M970" s="1488"/>
      <c r="N970" s="1489"/>
      <c r="O970" s="1489"/>
      <c r="P970" s="1489"/>
      <c r="Q970" s="1489"/>
      <c r="R970" s="1489"/>
      <c r="S970" s="1490"/>
      <c r="U970" s="66" t="s">
        <v>16</v>
      </c>
      <c r="V970" s="5"/>
      <c r="W970" s="5"/>
      <c r="X970" s="5"/>
      <c r="Y970" s="5"/>
      <c r="Z970" s="5"/>
      <c r="AA970" s="5"/>
      <c r="AB970" s="5"/>
      <c r="AC970" s="5"/>
      <c r="AD970" s="46"/>
      <c r="AE970" s="1488"/>
      <c r="AF970" s="1489"/>
      <c r="AG970" s="1489"/>
      <c r="AH970" s="1489"/>
      <c r="AI970" s="1489"/>
      <c r="AJ970" s="1489"/>
      <c r="AK970" s="1490"/>
      <c r="AV970" s="2"/>
      <c r="AW970" s="2"/>
      <c r="AX970" s="2"/>
      <c r="AY970" s="2"/>
      <c r="AZ970" s="34"/>
      <c r="BB970" s="34"/>
      <c r="BC970" s="34"/>
    </row>
    <row r="971" spans="1:64" ht="12.9" customHeight="1">
      <c r="C971" s="121" t="s">
        <v>1647</v>
      </c>
      <c r="D971" s="5"/>
      <c r="E971" s="5"/>
      <c r="F971" s="5"/>
      <c r="G971" s="5"/>
      <c r="H971" s="5"/>
      <c r="I971" s="5"/>
      <c r="J971" s="5"/>
      <c r="K971" s="5"/>
      <c r="L971" s="46"/>
      <c r="M971" s="1485"/>
      <c r="N971" s="1486"/>
      <c r="O971" s="1486"/>
      <c r="P971" s="1486"/>
      <c r="Q971" s="1486"/>
      <c r="R971" s="1486"/>
      <c r="S971" s="1487"/>
      <c r="U971" s="121" t="s">
        <v>1647</v>
      </c>
      <c r="V971" s="5"/>
      <c r="W971" s="5"/>
      <c r="X971" s="5"/>
      <c r="Y971" s="5"/>
      <c r="Z971" s="5"/>
      <c r="AA971" s="5"/>
      <c r="AB971" s="5"/>
      <c r="AC971" s="5"/>
      <c r="AD971" s="46"/>
      <c r="AE971" s="1485"/>
      <c r="AF971" s="1486"/>
      <c r="AG971" s="1486"/>
      <c r="AH971" s="1486"/>
      <c r="AI971" s="1486"/>
      <c r="AJ971" s="1486"/>
      <c r="AK971" s="1487"/>
      <c r="AZ971" s="34"/>
      <c r="BB971" s="34"/>
      <c r="BC971" s="34"/>
      <c r="BD971" s="34"/>
      <c r="BE971" s="34"/>
      <c r="BF971" s="34"/>
      <c r="BG971" s="34"/>
      <c r="BH971" s="34"/>
      <c r="BI971" s="34"/>
      <c r="BJ971" s="34"/>
      <c r="BK971" s="34"/>
      <c r="BL971" s="34"/>
    </row>
    <row r="972" spans="1:64" ht="12.9" customHeight="1">
      <c r="AZ972" s="34"/>
      <c r="BB972" s="34"/>
      <c r="BC972" s="34"/>
      <c r="BD972" s="34"/>
      <c r="BE972" s="34"/>
      <c r="BF972" s="34"/>
      <c r="BG972" s="34"/>
      <c r="BH972" s="34"/>
      <c r="BI972" s="34"/>
      <c r="BJ972" s="34"/>
      <c r="BK972" s="34"/>
      <c r="BL972" s="34"/>
    </row>
    <row r="973" spans="1:64" ht="12.9" customHeight="1">
      <c r="A973" s="2" t="s">
        <v>584</v>
      </c>
      <c r="C973" s="2" t="s">
        <v>648</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 customHeight="1">
      <c r="A976"/>
      <c r="B976"/>
      <c r="C976"/>
      <c r="D976"/>
      <c r="E976"/>
      <c r="F976" s="45" t="s">
        <v>569</v>
      </c>
      <c r="G976" s="5"/>
      <c r="H976" s="5"/>
      <c r="I976" s="5"/>
      <c r="J976" s="5"/>
      <c r="K976" s="5"/>
      <c r="L976" s="46"/>
      <c r="M976" s="1463"/>
      <c r="N976" s="1464"/>
      <c r="O976" s="1464"/>
      <c r="P976" s="1464"/>
      <c r="Q976" s="1464"/>
      <c r="R976" s="1464"/>
      <c r="S976" s="1465"/>
      <c r="T976" s="66" t="s">
        <v>788</v>
      </c>
      <c r="U976" s="5"/>
      <c r="V976" s="5"/>
      <c r="W976" s="5"/>
      <c r="X976" s="5"/>
      <c r="Y976" s="5"/>
      <c r="Z976" s="46"/>
      <c r="AA976" s="1463"/>
      <c r="AB976" s="1464"/>
      <c r="AC976" s="1464"/>
      <c r="AD976" s="1464"/>
      <c r="AE976" s="1464"/>
      <c r="AF976" s="1464"/>
      <c r="AG976" s="146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 customHeight="1">
      <c r="A977"/>
      <c r="B977"/>
      <c r="C977"/>
      <c r="D977"/>
      <c r="E977"/>
      <c r="F977" s="45" t="s">
        <v>570</v>
      </c>
      <c r="G977" s="5"/>
      <c r="H977" s="5"/>
      <c r="I977" s="5"/>
      <c r="J977" s="5"/>
      <c r="K977" s="5"/>
      <c r="L977" s="46"/>
      <c r="M977" s="1463"/>
      <c r="N977" s="1464"/>
      <c r="O977" s="1464"/>
      <c r="P977" s="1464"/>
      <c r="Q977" s="1464"/>
      <c r="R977" s="1464"/>
      <c r="S977" s="1465"/>
      <c r="T977" s="66" t="s">
        <v>787</v>
      </c>
      <c r="U977" s="5"/>
      <c r="V977" s="5"/>
      <c r="W977" s="5"/>
      <c r="X977" s="5"/>
      <c r="Y977" s="5"/>
      <c r="Z977" s="46"/>
      <c r="AA977" s="1463"/>
      <c r="AB977" s="1464"/>
      <c r="AC977" s="1464"/>
      <c r="AD977" s="1464"/>
      <c r="AE977" s="1464"/>
      <c r="AF977" s="1464"/>
      <c r="AG977" s="146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 customHeight="1">
      <c r="A978"/>
      <c r="B978"/>
      <c r="C978"/>
      <c r="D978"/>
      <c r="E978"/>
      <c r="F978" s="45" t="s">
        <v>899</v>
      </c>
      <c r="G978" s="5"/>
      <c r="H978" s="5"/>
      <c r="I978" s="5"/>
      <c r="J978" s="5"/>
      <c r="K978" s="5"/>
      <c r="L978" s="46"/>
      <c r="M978" s="1740" t="s">
        <v>589</v>
      </c>
      <c r="N978" s="1741"/>
      <c r="O978" s="1741"/>
      <c r="P978" s="1741"/>
      <c r="Q978" s="1741"/>
      <c r="R978" s="1741"/>
      <c r="S978" s="1742"/>
      <c r="T978" s="45" t="s">
        <v>337</v>
      </c>
      <c r="U978" s="5"/>
      <c r="V978" s="5"/>
      <c r="W978" s="5"/>
      <c r="X978" s="5"/>
      <c r="Y978" s="5"/>
      <c r="Z978" s="46"/>
      <c r="AA978" s="1463"/>
      <c r="AB978" s="1464"/>
      <c r="AC978" s="1464"/>
      <c r="AD978" s="1464"/>
      <c r="AE978" s="1464"/>
      <c r="AF978" s="1464"/>
      <c r="AG978" s="146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 customHeight="1">
      <c r="A979"/>
      <c r="B979"/>
      <c r="C979"/>
      <c r="D979"/>
      <c r="E979"/>
      <c r="F979" s="45" t="s">
        <v>571</v>
      </c>
      <c r="G979" s="5"/>
      <c r="H979" s="5"/>
      <c r="I979" s="5"/>
      <c r="J979" s="5"/>
      <c r="K979" s="5"/>
      <c r="L979" s="46"/>
      <c r="M979" s="1463"/>
      <c r="N979" s="1464"/>
      <c r="O979" s="1464"/>
      <c r="P979" s="1464"/>
      <c r="Q979" s="1464"/>
      <c r="R979" s="1464"/>
      <c r="S979" s="1465"/>
      <c r="T979" s="45" t="s">
        <v>338</v>
      </c>
      <c r="U979" s="5"/>
      <c r="V979" s="5"/>
      <c r="W979" s="5"/>
      <c r="X979" s="5"/>
      <c r="Y979" s="5"/>
      <c r="Z979" s="46"/>
      <c r="AA979" s="1463"/>
      <c r="AB979" s="1464"/>
      <c r="AC979" s="1464"/>
      <c r="AD979" s="1464"/>
      <c r="AE979" s="1464"/>
      <c r="AF979" s="1464"/>
      <c r="AG979" s="146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 customHeight="1">
      <c r="A980"/>
      <c r="B980"/>
      <c r="C980"/>
      <c r="D980"/>
      <c r="E980"/>
      <c r="F980" s="45" t="s">
        <v>462</v>
      </c>
      <c r="G980" s="5"/>
      <c r="H980" s="5"/>
      <c r="I980" s="5"/>
      <c r="J980" s="5"/>
      <c r="K980" s="5"/>
      <c r="L980" s="46"/>
      <c r="M980" s="1463"/>
      <c r="N980" s="1464"/>
      <c r="O980" s="1464"/>
      <c r="P980" s="1464"/>
      <c r="Q980" s="1464"/>
      <c r="R980" s="1464"/>
      <c r="S980" s="1465"/>
      <c r="T980" s="45" t="s">
        <v>375</v>
      </c>
      <c r="U980" s="5"/>
      <c r="V980" s="5"/>
      <c r="W980" s="5"/>
      <c r="X980" s="5"/>
      <c r="Y980" s="5"/>
      <c r="Z980" s="46"/>
      <c r="AA980" s="1463"/>
      <c r="AB980" s="1464"/>
      <c r="AC980" s="1464"/>
      <c r="AD980" s="1464"/>
      <c r="AE980" s="1464"/>
      <c r="AF980" s="1464"/>
      <c r="AG980" s="146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 customHeight="1">
      <c r="A981"/>
      <c r="B981"/>
      <c r="C981"/>
      <c r="D981"/>
      <c r="E981"/>
      <c r="F981" s="242" t="s">
        <v>878</v>
      </c>
      <c r="G981" s="42"/>
      <c r="H981" s="42"/>
      <c r="I981" s="42"/>
      <c r="J981" s="42"/>
      <c r="K981" s="42"/>
      <c r="L981" s="58"/>
      <c r="M981" s="1469" t="s">
        <v>307</v>
      </c>
      <c r="N981" s="1470"/>
      <c r="O981" s="1470"/>
      <c r="P981" s="1470"/>
      <c r="Q981" s="1470"/>
      <c r="R981" s="1470"/>
      <c r="S981" s="1471"/>
      <c r="T981" s="1473"/>
      <c r="U981" s="1474"/>
      <c r="V981" s="1474"/>
      <c r="W981" s="1474"/>
      <c r="X981" s="1474"/>
      <c r="Y981" s="1474"/>
      <c r="Z981" s="1475"/>
      <c r="AA981" s="1463"/>
      <c r="AB981" s="1464"/>
      <c r="AC981" s="1464"/>
      <c r="AD981" s="1464"/>
      <c r="AE981" s="1464"/>
      <c r="AF981" s="1464"/>
      <c r="AG981" s="146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 customHeight="1">
      <c r="A982"/>
      <c r="B982"/>
      <c r="C982"/>
      <c r="D982"/>
      <c r="E982"/>
      <c r="F982" s="41" t="s">
        <v>463</v>
      </c>
      <c r="G982" s="42"/>
      <c r="H982" s="42"/>
      <c r="I982" s="42"/>
      <c r="J982" s="42"/>
      <c r="K982" s="42"/>
      <c r="L982" s="58"/>
      <c r="M982" s="1463"/>
      <c r="N982" s="1464"/>
      <c r="O982" s="1464"/>
      <c r="P982" s="1464"/>
      <c r="Q982" s="1464"/>
      <c r="R982" s="1464"/>
      <c r="S982" s="1465"/>
      <c r="T982" s="1473"/>
      <c r="U982" s="1474"/>
      <c r="V982" s="1474"/>
      <c r="W982" s="1474"/>
      <c r="X982" s="1474"/>
      <c r="Y982" s="1474"/>
      <c r="Z982" s="1475"/>
      <c r="AA982" s="1463"/>
      <c r="AB982" s="1464"/>
      <c r="AC982" s="1464"/>
      <c r="AD982" s="1464"/>
      <c r="AE982" s="1464"/>
      <c r="AF982" s="1464"/>
      <c r="AG982" s="146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 customHeight="1">
      <c r="F983" s="41" t="s">
        <v>336</v>
      </c>
      <c r="G983" s="42"/>
      <c r="H983" s="42"/>
      <c r="I983" s="42"/>
      <c r="J983" s="42"/>
      <c r="K983" s="42"/>
      <c r="L983" s="42"/>
      <c r="M983" s="42"/>
      <c r="N983" s="42"/>
      <c r="O983" s="1632" t="s">
        <v>667</v>
      </c>
      <c r="P983" s="1633"/>
      <c r="Q983" s="92"/>
      <c r="R983" s="92"/>
      <c r="S983" s="93"/>
      <c r="T983" s="41" t="s">
        <v>170</v>
      </c>
      <c r="U983" s="42"/>
      <c r="V983" s="42"/>
      <c r="W983" s="1654" t="s">
        <v>334</v>
      </c>
      <c r="X983" s="1337"/>
      <c r="Y983" s="1337"/>
      <c r="Z983" s="1337"/>
      <c r="AA983" s="1337"/>
      <c r="AB983" s="1337"/>
      <c r="AC983" s="1337"/>
      <c r="AD983" s="1337"/>
      <c r="AE983" s="1337"/>
      <c r="AF983" s="1337"/>
      <c r="AG983" s="1338"/>
      <c r="AU983" s="68"/>
      <c r="AV983" s="95"/>
      <c r="AW983" s="95"/>
      <c r="AX983" s="95"/>
      <c r="AY983" s="95"/>
      <c r="AZ983" s="34"/>
      <c r="BB983" s="34"/>
      <c r="BC983" s="34"/>
      <c r="BD983" s="34"/>
      <c r="BE983" s="34"/>
      <c r="BF983" s="34"/>
      <c r="BG983" s="34"/>
      <c r="BH983" s="34"/>
      <c r="BI983" s="34"/>
      <c r="BJ983" s="34"/>
      <c r="BK983" s="34"/>
      <c r="BL983" s="34"/>
    </row>
    <row r="984" spans="1:64" ht="12.9" customHeight="1">
      <c r="F984" s="1689" t="s">
        <v>33</v>
      </c>
      <c r="G984" s="1512"/>
      <c r="H984" s="1512"/>
      <c r="I984" s="1512"/>
      <c r="J984" s="1512"/>
      <c r="K984" s="1512"/>
      <c r="L984" s="1512"/>
      <c r="M984" s="1463"/>
      <c r="N984" s="1464"/>
      <c r="O984" s="1464"/>
      <c r="P984" s="1464"/>
      <c r="Q984" s="1464"/>
      <c r="R984" s="1464"/>
      <c r="S984" s="1465"/>
      <c r="T984" s="47"/>
      <c r="U984" s="48"/>
      <c r="V984" s="48"/>
      <c r="W984" s="48"/>
      <c r="X984" s="48"/>
      <c r="Y984" s="48"/>
      <c r="Z984" s="124" t="s">
        <v>134</v>
      </c>
      <c r="AA984" s="1711"/>
      <c r="AB984" s="1712"/>
      <c r="AC984" s="1712"/>
      <c r="AD984" s="1712"/>
      <c r="AE984" s="1712"/>
      <c r="AF984" s="1712"/>
      <c r="AG984" s="1713"/>
      <c r="AU984" s="68"/>
      <c r="AV984" s="95"/>
      <c r="AW984" s="95"/>
      <c r="AX984" s="95"/>
      <c r="AY984" s="95"/>
      <c r="AZ984" s="14"/>
      <c r="BA984" s="14"/>
      <c r="BB984" s="34"/>
      <c r="BC984" s="34"/>
      <c r="BD984" s="34"/>
      <c r="BE984" s="34"/>
      <c r="BF984" s="34"/>
      <c r="BG984" s="14"/>
      <c r="BH984" s="14"/>
      <c r="BI984" s="14"/>
      <c r="BJ984" s="14"/>
      <c r="BK984" s="14"/>
      <c r="BL984" s="14"/>
    </row>
    <row r="985" spans="1:64" ht="12.9" customHeight="1">
      <c r="AU985" s="68"/>
      <c r="AV985" s="68"/>
      <c r="AW985" s="68"/>
      <c r="AX985" s="68"/>
      <c r="AY985" s="68"/>
      <c r="AZ985" s="14"/>
      <c r="BA985" s="14"/>
      <c r="BB985" s="14"/>
      <c r="BC985" s="14"/>
      <c r="BD985" s="14"/>
      <c r="BE985" s="14"/>
      <c r="BF985" s="14"/>
      <c r="BG985" s="1749"/>
      <c r="BH985" s="1749"/>
      <c r="BI985" s="1749"/>
      <c r="BJ985" s="1749"/>
      <c r="BK985" s="1749"/>
      <c r="BL985" s="1749"/>
    </row>
    <row r="986" spans="1:64" ht="12.9" customHeight="1">
      <c r="AU986" s="68"/>
      <c r="AV986" s="68"/>
      <c r="AW986" s="68"/>
      <c r="AX986" s="68"/>
      <c r="AY986" s="68"/>
      <c r="AZ986" s="14"/>
      <c r="BA986" s="14"/>
      <c r="BB986" s="903"/>
      <c r="BC986" s="903"/>
      <c r="BD986" s="14"/>
      <c r="BE986" s="14"/>
      <c r="BF986" s="14"/>
      <c r="BG986" s="14"/>
      <c r="BH986" s="14"/>
      <c r="BI986" s="14"/>
      <c r="BJ986" s="14"/>
      <c r="BK986" s="14"/>
      <c r="BL986" s="14"/>
    </row>
    <row r="987" spans="1:64" ht="12.9" customHeight="1">
      <c r="AU987" s="68"/>
      <c r="AV987" s="68"/>
      <c r="AW987" s="68"/>
      <c r="AX987" s="68"/>
      <c r="AY987" s="68"/>
      <c r="AZ987" s="14"/>
      <c r="BA987" s="14"/>
      <c r="BB987" s="903"/>
      <c r="BC987" s="903"/>
    </row>
    <row r="988" spans="1:64" ht="12.9" customHeight="1">
      <c r="A988" s="1575" t="s">
        <v>546</v>
      </c>
      <c r="B988" s="1575"/>
      <c r="C988" s="1575"/>
      <c r="D988" s="1575"/>
      <c r="E988" s="1575"/>
      <c r="F988" s="1575"/>
      <c r="G988" s="1575"/>
      <c r="H988" s="1575"/>
      <c r="I988" s="1575"/>
      <c r="J988" s="1575"/>
      <c r="K988" s="1575"/>
      <c r="L988" s="1575"/>
      <c r="M988" s="1575"/>
      <c r="N988" s="1575"/>
      <c r="O988" s="1575"/>
      <c r="P988" s="1575"/>
      <c r="Q988" s="1575"/>
      <c r="R988" s="1575"/>
      <c r="S988" s="1575"/>
      <c r="T988" s="1575"/>
      <c r="U988" s="1575"/>
      <c r="V988" s="1575"/>
      <c r="W988" s="1575"/>
      <c r="X988" s="1575"/>
      <c r="Y988" s="1575"/>
      <c r="Z988" s="1575"/>
      <c r="AA988" s="1575"/>
      <c r="AB988" s="1575"/>
      <c r="AC988" s="1575"/>
      <c r="AD988" s="1575"/>
      <c r="AE988" s="1575"/>
      <c r="AF988" s="1575"/>
      <c r="AG988" s="1575"/>
      <c r="AH988" s="1575"/>
      <c r="AI988" s="1575"/>
      <c r="AJ988" s="1575"/>
      <c r="AK988" s="1575"/>
      <c r="AL988" s="1575"/>
      <c r="AM988" s="1575"/>
      <c r="AN988" s="1575"/>
      <c r="AO988" s="1575"/>
      <c r="AP988" s="1575"/>
      <c r="AQ988" s="1575"/>
      <c r="AR988" s="1575"/>
      <c r="AS988" s="1575"/>
      <c r="AT988" s="1575"/>
      <c r="AU988" s="68"/>
      <c r="AV988" s="68"/>
      <c r="AW988" s="68"/>
      <c r="AX988" s="68"/>
      <c r="AY988" s="68"/>
      <c r="AZ988" s="14"/>
      <c r="BA988" s="14"/>
      <c r="BB988" s="903"/>
      <c r="BC988" s="903"/>
    </row>
    <row r="989" spans="1:64" ht="12.9" customHeight="1">
      <c r="A989" s="1575"/>
      <c r="B989" s="1575"/>
      <c r="C989" s="1575"/>
      <c r="D989" s="1575"/>
      <c r="E989" s="1575"/>
      <c r="F989" s="1575"/>
      <c r="G989" s="1575"/>
      <c r="H989" s="1575"/>
      <c r="I989" s="1575"/>
      <c r="J989" s="1575"/>
      <c r="K989" s="1575"/>
      <c r="L989" s="1575"/>
      <c r="M989" s="1575"/>
      <c r="N989" s="1575"/>
      <c r="O989" s="1575"/>
      <c r="P989" s="1575"/>
      <c r="Q989" s="1575"/>
      <c r="R989" s="1575"/>
      <c r="S989" s="1575"/>
      <c r="T989" s="1575"/>
      <c r="U989" s="1575"/>
      <c r="V989" s="1575"/>
      <c r="W989" s="1575"/>
      <c r="X989" s="1575"/>
      <c r="Y989" s="1575"/>
      <c r="Z989" s="1575"/>
      <c r="AA989" s="1575"/>
      <c r="AB989" s="1575"/>
      <c r="AC989" s="1575"/>
      <c r="AD989" s="1575"/>
      <c r="AE989" s="1575"/>
      <c r="AF989" s="1575"/>
      <c r="AG989" s="1575"/>
      <c r="AH989" s="1575"/>
      <c r="AI989" s="1575"/>
      <c r="AJ989" s="1575"/>
      <c r="AK989" s="1575"/>
      <c r="AL989" s="1575"/>
      <c r="AM989" s="1575"/>
      <c r="AN989" s="1575"/>
      <c r="AO989" s="1575"/>
      <c r="AP989" s="1575"/>
      <c r="AQ989" s="1575"/>
      <c r="AR989" s="1575"/>
      <c r="AS989" s="1575"/>
      <c r="AT989" s="1575"/>
      <c r="AU989" s="68"/>
      <c r="AV989" s="68"/>
      <c r="AW989" s="68"/>
      <c r="AX989" s="68"/>
      <c r="AY989" s="68"/>
      <c r="AZ989" s="30"/>
      <c r="BA989" s="14"/>
      <c r="BB989" s="14"/>
      <c r="BC989" s="14"/>
    </row>
    <row r="990" spans="1:64" ht="12.9" customHeight="1">
      <c r="A990" s="1575"/>
      <c r="B990" s="1575"/>
      <c r="C990" s="1575"/>
      <c r="D990" s="1575"/>
      <c r="E990" s="1575"/>
      <c r="F990" s="1575"/>
      <c r="G990" s="1575"/>
      <c r="H990" s="1575"/>
      <c r="I990" s="1575"/>
      <c r="J990" s="1575"/>
      <c r="K990" s="1575"/>
      <c r="L990" s="1575"/>
      <c r="M990" s="1575"/>
      <c r="N990" s="1575"/>
      <c r="O990" s="1575"/>
      <c r="P990" s="1575"/>
      <c r="Q990" s="1575"/>
      <c r="R990" s="1575"/>
      <c r="S990" s="1575"/>
      <c r="T990" s="1575"/>
      <c r="U990" s="1575"/>
      <c r="V990" s="1575"/>
      <c r="W990" s="1575"/>
      <c r="X990" s="1575"/>
      <c r="Y990" s="1575"/>
      <c r="Z990" s="1575"/>
      <c r="AA990" s="1575"/>
      <c r="AB990" s="1575"/>
      <c r="AC990" s="1575"/>
      <c r="AD990" s="1575"/>
      <c r="AE990" s="1575"/>
      <c r="AF990" s="1575"/>
      <c r="AG990" s="1575"/>
      <c r="AH990" s="1575"/>
      <c r="AI990" s="1575"/>
      <c r="AJ990" s="1575"/>
      <c r="AK990" s="1575"/>
      <c r="AL990" s="1575"/>
      <c r="AM990" s="1575"/>
      <c r="AN990" s="1575"/>
      <c r="AO990" s="1575"/>
      <c r="AP990" s="1575"/>
      <c r="AQ990" s="1575"/>
      <c r="AR990" s="1575"/>
      <c r="AS990" s="1575"/>
      <c r="AT990" s="1575"/>
      <c r="AU990" s="68"/>
      <c r="AV990" s="68"/>
      <c r="AW990" s="68"/>
      <c r="AX990" s="68"/>
      <c r="AY990" s="68"/>
      <c r="AZ990" s="30"/>
      <c r="BA990" s="14"/>
      <c r="BB990" s="14"/>
      <c r="BC990" s="14"/>
    </row>
    <row r="991" spans="1:64" ht="12.9"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 customHeight="1">
      <c r="A992" s="2" t="s">
        <v>319</v>
      </c>
      <c r="C992" s="2" t="s">
        <v>613</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 customHeight="1">
      <c r="A994" s="67"/>
      <c r="B994" s="79"/>
      <c r="C994" s="919"/>
      <c r="D994" s="1648" t="s">
        <v>636</v>
      </c>
      <c r="E994" s="1649"/>
      <c r="F994" s="1649"/>
      <c r="G994" s="1649"/>
      <c r="H994" s="1649"/>
      <c r="I994" s="1649"/>
      <c r="J994" s="1649"/>
      <c r="K994" s="1649"/>
      <c r="L994" s="1649"/>
      <c r="M994" s="1649"/>
      <c r="N994" s="1649"/>
      <c r="O994" s="1649"/>
      <c r="P994" s="1649"/>
      <c r="Q994" s="1650"/>
      <c r="R994" s="1648" t="s">
        <v>637</v>
      </c>
      <c r="S994" s="1649"/>
      <c r="T994" s="1649"/>
      <c r="U994" s="1649"/>
      <c r="V994" s="1649"/>
      <c r="W994" s="1649"/>
      <c r="X994" s="1649"/>
      <c r="Y994" s="1649"/>
      <c r="Z994" s="1649"/>
      <c r="AA994" s="1650"/>
      <c r="AB994" s="1648" t="s">
        <v>638</v>
      </c>
      <c r="AC994" s="1649"/>
      <c r="AD994" s="1649"/>
      <c r="AE994" s="1649"/>
      <c r="AF994" s="1649"/>
      <c r="AG994" s="1649"/>
      <c r="AH994" s="1649"/>
      <c r="AI994" s="1650"/>
      <c r="AJ994" s="1648" t="s">
        <v>639</v>
      </c>
      <c r="AK994" s="1649"/>
      <c r="AL994" s="1649"/>
      <c r="AM994" s="1649"/>
      <c r="AN994" s="1649"/>
      <c r="AO994" s="1649"/>
      <c r="AP994" s="1649"/>
      <c r="AQ994" s="1650"/>
      <c r="AR994" s="68"/>
      <c r="AS994" s="68"/>
      <c r="AT994" s="68"/>
      <c r="AU994" s="68"/>
      <c r="AV994" s="68"/>
      <c r="AW994" s="68"/>
      <c r="AX994" s="68"/>
      <c r="AY994" s="68"/>
      <c r="AZ994" s="30"/>
      <c r="BB994" s="14"/>
      <c r="BC994" s="14"/>
    </row>
    <row r="995" spans="1:55" ht="12.9" customHeight="1">
      <c r="A995" s="14"/>
      <c r="B995" s="73"/>
      <c r="C995" s="920"/>
      <c r="D995" s="1626" t="s">
        <v>631</v>
      </c>
      <c r="E995" s="1627"/>
      <c r="F995" s="1627"/>
      <c r="G995" s="1627"/>
      <c r="H995" s="1627"/>
      <c r="I995" s="1627"/>
      <c r="J995" s="1627"/>
      <c r="K995" s="1627"/>
      <c r="L995" s="1627"/>
      <c r="M995" s="1627"/>
      <c r="N995" s="1627"/>
      <c r="O995" s="1627"/>
      <c r="P995" s="1627"/>
      <c r="Q995" s="1628"/>
      <c r="R995" s="1625">
        <f>IF(ISNA(IF($CU$122="4%",(INDEX($CS$160:$CW$217,MATCH($DG$122,$CR$160:$CR$217,0),MATCH(D995,$CS$159:$CW$159,0))),(INDEX($CZ$160:$DD$217,MATCH($DG$122,$CY$160:$CY$217,0),MATCH(D995,$CZ$159:$DD$159,0))))),0,IF($CU$122="4%",(INDEX($CS$160:$CW$217,MATCH($DG$122,$CR$160:$CR$217,0),MATCH(D995,$CS$159:$CW$159,0))),(INDEX($CZ$160:$DD$217,MATCH($DG$122,$CY$160:$CY$217,0),MATCH(D995,$CZ$159:$DD$159,0)))))</f>
        <v>532060</v>
      </c>
      <c r="S995" s="1625"/>
      <c r="T995" s="1625"/>
      <c r="U995" s="1625"/>
      <c r="V995" s="1625"/>
      <c r="W995" s="1625"/>
      <c r="X995" s="1625"/>
      <c r="Y995" s="1625"/>
      <c r="Z995" s="1625"/>
      <c r="AA995" s="1625"/>
      <c r="AB995" s="1629">
        <f>CP810</f>
        <v>0</v>
      </c>
      <c r="AC995" s="1630"/>
      <c r="AD995" s="1630"/>
      <c r="AE995" s="1630"/>
      <c r="AF995" s="1630"/>
      <c r="AG995" s="1630"/>
      <c r="AH995" s="1630"/>
      <c r="AI995" s="1631"/>
      <c r="AJ995" s="1651">
        <f>IF(ISERROR((R995*AB995)),0,(R995*AB995))</f>
        <v>0</v>
      </c>
      <c r="AK995" s="1652"/>
      <c r="AL995" s="1652"/>
      <c r="AM995" s="1652"/>
      <c r="AN995" s="1652"/>
      <c r="AO995" s="1652"/>
      <c r="AP995" s="1652"/>
      <c r="AQ995" s="1653"/>
      <c r="AR995" s="68"/>
      <c r="AS995" s="68"/>
      <c r="AT995" s="68"/>
      <c r="AU995" s="68"/>
      <c r="AV995" s="68"/>
      <c r="AW995" s="68"/>
      <c r="AX995" s="68"/>
      <c r="AY995" s="68"/>
      <c r="AZ995" s="30"/>
      <c r="BB995" s="14"/>
      <c r="BC995" s="14"/>
    </row>
    <row r="996" spans="1:55" ht="12.9" customHeight="1">
      <c r="A996" s="14"/>
      <c r="B996" s="73"/>
      <c r="C996" s="83"/>
      <c r="D996" s="1626" t="s">
        <v>325</v>
      </c>
      <c r="E996" s="1627"/>
      <c r="F996" s="1627"/>
      <c r="G996" s="1627"/>
      <c r="H996" s="1627"/>
      <c r="I996" s="1627"/>
      <c r="J996" s="1627"/>
      <c r="K996" s="1627"/>
      <c r="L996" s="1627"/>
      <c r="M996" s="1627"/>
      <c r="N996" s="1627"/>
      <c r="O996" s="1627"/>
      <c r="P996" s="1627"/>
      <c r="Q996" s="1628"/>
      <c r="R996" s="1625">
        <f>IF(ISNA(IF($CU$122="4%",(INDEX($CS$160:$CW$217,MATCH($DG$122,$CR$160:$CR$217,0),MATCH(D996,$CS$159:$CW$159,0))),(INDEX($CZ$160:$DD$217,MATCH($DG$122,$CY$160:$CY$217,0),MATCH(D996,$CZ$159:$DD$159,0))))),0,IF($CU$122="4%",(INDEX($CS$160:$CW$217,MATCH($DG$122,$CR$160:$CR$217,0),MATCH(D996,$CS$159:$CW$159,0))),(INDEX($CZ$160:$DD$217,MATCH($DG$122,$CY$160:$CY$217,0),MATCH(D996,$CZ$159:$DD$159,0)))))</f>
        <v>613460</v>
      </c>
      <c r="S996" s="1625"/>
      <c r="T996" s="1625"/>
      <c r="U996" s="1625"/>
      <c r="V996" s="1625"/>
      <c r="W996" s="1625"/>
      <c r="X996" s="1625"/>
      <c r="Y996" s="1625"/>
      <c r="Z996" s="1625"/>
      <c r="AA996" s="1625"/>
      <c r="AB996" s="1629">
        <f>CU810</f>
        <v>15</v>
      </c>
      <c r="AC996" s="1630"/>
      <c r="AD996" s="1630"/>
      <c r="AE996" s="1630"/>
      <c r="AF996" s="1630"/>
      <c r="AG996" s="1630"/>
      <c r="AH996" s="1630"/>
      <c r="AI996" s="1631"/>
      <c r="AJ996" s="1651">
        <f>IF(ISERROR((R996*AB996)),0,(R996*AB996))</f>
        <v>9201900</v>
      </c>
      <c r="AK996" s="1652"/>
      <c r="AL996" s="1652"/>
      <c r="AM996" s="1652"/>
      <c r="AN996" s="1652"/>
      <c r="AO996" s="1652"/>
      <c r="AP996" s="1652"/>
      <c r="AQ996" s="1653"/>
      <c r="AR996" s="68"/>
      <c r="AS996" s="68"/>
      <c r="AT996" s="68"/>
      <c r="AU996" s="68"/>
      <c r="AV996" s="68"/>
      <c r="AW996" s="68"/>
      <c r="AX996" s="68"/>
      <c r="AY996" s="68"/>
      <c r="AZ996" s="30"/>
      <c r="BB996" s="14"/>
      <c r="BC996" s="14"/>
    </row>
    <row r="997" spans="1:55" ht="12.9" customHeight="1">
      <c r="A997" s="14"/>
      <c r="B997" s="73"/>
      <c r="C997" s="83"/>
      <c r="D997" s="1626" t="s">
        <v>163</v>
      </c>
      <c r="E997" s="1627"/>
      <c r="F997" s="1627"/>
      <c r="G997" s="1627"/>
      <c r="H997" s="1627"/>
      <c r="I997" s="1627"/>
      <c r="J997" s="1627"/>
      <c r="K997" s="1627"/>
      <c r="L997" s="1627"/>
      <c r="M997" s="1627"/>
      <c r="N997" s="1627"/>
      <c r="O997" s="1627"/>
      <c r="P997" s="1627"/>
      <c r="Q997" s="1628"/>
      <c r="R997" s="1625">
        <f>IF(ISNA(IF($CU$122="4%",(INDEX($CS$160:$CW$217,MATCH($DG$122,$CR$160:$CR$217,0),MATCH(D997,$CS$159:$CW$159,0))),(INDEX($CZ$160:$DD$217,MATCH($DG$122,$CY$160:$CY$217,0),MATCH(D997,$CZ$159:$DD$159,0))))),0,IF($CU$122="4%",(INDEX($CS$160:$CW$217,MATCH($DG$122,$CR$160:$CR$217,0),MATCH(D997,$CS$159:$CW$159,0))),(INDEX($CZ$160:$DD$217,MATCH($DG$122,$CY$160:$CY$217,0),MATCH(D997,$CZ$159:$DD$159,0)))))</f>
        <v>740000</v>
      </c>
      <c r="S997" s="1625"/>
      <c r="T997" s="1625"/>
      <c r="U997" s="1625"/>
      <c r="V997" s="1625"/>
      <c r="W997" s="1625"/>
      <c r="X997" s="1625"/>
      <c r="Y997" s="1625"/>
      <c r="Z997" s="1625"/>
      <c r="AA997" s="1625"/>
      <c r="AB997" s="1629">
        <f>CZ810</f>
        <v>44</v>
      </c>
      <c r="AC997" s="1630"/>
      <c r="AD997" s="1630"/>
      <c r="AE997" s="1630"/>
      <c r="AF997" s="1630"/>
      <c r="AG997" s="1630"/>
      <c r="AH997" s="1630"/>
      <c r="AI997" s="1631"/>
      <c r="AJ997" s="1651">
        <f>IF(ISERROR((R997*AB997)),0,(R997*AB997))</f>
        <v>32560000</v>
      </c>
      <c r="AK997" s="1652"/>
      <c r="AL997" s="1652"/>
      <c r="AM997" s="1652"/>
      <c r="AN997" s="1652"/>
      <c r="AO997" s="1652"/>
      <c r="AP997" s="1652"/>
      <c r="AQ997" s="1653"/>
      <c r="AR997" s="68"/>
      <c r="AS997" s="68"/>
      <c r="AT997" s="68"/>
      <c r="AU997" s="68"/>
      <c r="AV997" s="68"/>
      <c r="AW997" s="68"/>
      <c r="AX997" s="68"/>
      <c r="AY997" s="68"/>
      <c r="AZ997" s="30"/>
      <c r="BB997" s="14"/>
      <c r="BC997" s="14"/>
    </row>
    <row r="998" spans="1:55" ht="12.9" customHeight="1">
      <c r="A998" s="14"/>
      <c r="B998" s="73"/>
      <c r="C998" s="83"/>
      <c r="D998" s="1626" t="s">
        <v>164</v>
      </c>
      <c r="E998" s="1627"/>
      <c r="F998" s="1627"/>
      <c r="G998" s="1627"/>
      <c r="H998" s="1627"/>
      <c r="I998" s="1627"/>
      <c r="J998" s="1627"/>
      <c r="K998" s="1627"/>
      <c r="L998" s="1627"/>
      <c r="M998" s="1627"/>
      <c r="N998" s="1627"/>
      <c r="O998" s="1627"/>
      <c r="P998" s="1627"/>
      <c r="Q998" s="1628"/>
      <c r="R998" s="1625">
        <f>IF(ISNA(IF($CU$122="4%",(INDEX($CS$160:$CW$217,MATCH($DG$122,$CR$160:$CR$217,0),MATCH(D998,$CS$159:$CW$159,0))),(INDEX($CZ$160:$DD$217,MATCH($DG$122,$CY$160:$CY$217,0),MATCH(D998,$CZ$159:$DD$159,0))))),0,IF($CU$122="4%",(INDEX($CS$160:$CW$217,MATCH($DG$122,$CR$160:$CR$217,0),MATCH(D998,$CS$159:$CW$159,0))),(INDEX($CZ$160:$DD$217,MATCH($DG$122,$CY$160:$CY$217,0),MATCH(D998,$CZ$159:$DD$159,0)))))</f>
        <v>947200</v>
      </c>
      <c r="S998" s="1625"/>
      <c r="T998" s="1625"/>
      <c r="U998" s="1625"/>
      <c r="V998" s="1625"/>
      <c r="W998" s="1625"/>
      <c r="X998" s="1625"/>
      <c r="Y998" s="1625"/>
      <c r="Z998" s="1625"/>
      <c r="AA998" s="1625"/>
      <c r="AB998" s="1629">
        <f>DE810</f>
        <v>54</v>
      </c>
      <c r="AC998" s="1630"/>
      <c r="AD998" s="1630"/>
      <c r="AE998" s="1630"/>
      <c r="AF998" s="1630"/>
      <c r="AG998" s="1630"/>
      <c r="AH998" s="1630"/>
      <c r="AI998" s="1631"/>
      <c r="AJ998" s="1651">
        <f>IF(ISERROR((R998*AB998)),0,(R998*AB998))</f>
        <v>51148800</v>
      </c>
      <c r="AK998" s="1652"/>
      <c r="AL998" s="1652"/>
      <c r="AM998" s="1652"/>
      <c r="AN998" s="1652"/>
      <c r="AO998" s="1652"/>
      <c r="AP998" s="1652"/>
      <c r="AQ998" s="1653"/>
      <c r="AR998" s="68"/>
      <c r="AS998" s="68"/>
      <c r="AT998" s="68"/>
      <c r="AU998" s="68"/>
      <c r="AV998" s="68"/>
      <c r="AW998" s="68"/>
      <c r="AX998" s="68"/>
      <c r="AY998" s="68"/>
      <c r="AZ998" s="30"/>
      <c r="BA998" s="34"/>
      <c r="BB998" s="14"/>
      <c r="BC998" s="14"/>
    </row>
    <row r="999" spans="1:55" ht="12.9" customHeight="1">
      <c r="A999" s="14"/>
      <c r="B999" s="47"/>
      <c r="C999" s="78"/>
      <c r="D999" s="1626" t="s">
        <v>458</v>
      </c>
      <c r="E999" s="1627"/>
      <c r="F999" s="1627"/>
      <c r="G999" s="1627"/>
      <c r="H999" s="1627"/>
      <c r="I999" s="1627"/>
      <c r="J999" s="1627"/>
      <c r="K999" s="1627"/>
      <c r="L999" s="1627"/>
      <c r="M999" s="1627"/>
      <c r="N999" s="1627"/>
      <c r="O999" s="1627"/>
      <c r="P999" s="1627"/>
      <c r="Q999" s="1628"/>
      <c r="R999" s="1625">
        <f>IF(ISNA(IF($CU$122="4%",(INDEX($CS$160:$CW$217,MATCH($DG$122,$CR$160:$CR$217,0),MATCH(D999,$CS$159:$CW$159,0))),(INDEX($CZ$160:$DD$217,MATCH($DG$122,$CY$160:$CY$217,0),MATCH(D999,$CZ$159:$DD$159,0))))),0,IF($CU$122="4%",(INDEX($CS$160:$CW$217,MATCH($DG$122,$CR$160:$CR$217,0),MATCH(D999,$CS$159:$CW$159,0))),(INDEX($CZ$160:$DD$217,MATCH($DG$122,$CY$160:$CY$217,0),MATCH(D999,$CZ$159:$DD$159,0)))))</f>
        <v>1055240</v>
      </c>
      <c r="S999" s="1625"/>
      <c r="T999" s="1625"/>
      <c r="U999" s="1625"/>
      <c r="V999" s="1625"/>
      <c r="W999" s="1625"/>
      <c r="X999" s="1625"/>
      <c r="Y999" s="1625"/>
      <c r="Z999" s="1625"/>
      <c r="AA999" s="1625"/>
      <c r="AB999" s="1629">
        <f>DO810+DJ810</f>
        <v>0</v>
      </c>
      <c r="AC999" s="1630"/>
      <c r="AD999" s="1630"/>
      <c r="AE999" s="1630"/>
      <c r="AF999" s="1630"/>
      <c r="AG999" s="1630"/>
      <c r="AH999" s="1630"/>
      <c r="AI999" s="1631"/>
      <c r="AJ999" s="1651">
        <f>IF(ISERROR((R999*AB999)),0,(R999*AB999))</f>
        <v>0</v>
      </c>
      <c r="AK999" s="1652"/>
      <c r="AL999" s="1652"/>
      <c r="AM999" s="1652"/>
      <c r="AN999" s="1652"/>
      <c r="AO999" s="1652"/>
      <c r="AP999" s="1652"/>
      <c r="AQ999" s="1653"/>
      <c r="AR999" s="68"/>
      <c r="AS999" s="68"/>
      <c r="AT999" s="68"/>
      <c r="AU999" s="68"/>
      <c r="AV999" s="68"/>
      <c r="AW999" s="68"/>
      <c r="AX999" s="68"/>
      <c r="AY999" s="68"/>
      <c r="AZ999" s="30"/>
      <c r="BB999" s="14"/>
      <c r="BC999" s="14"/>
    </row>
    <row r="1000" spans="1:55" ht="12.9" customHeight="1">
      <c r="A1000" s="14"/>
      <c r="B1000" s="1702" t="s">
        <v>789</v>
      </c>
      <c r="C1000" s="1703"/>
      <c r="D1000" s="1703"/>
      <c r="E1000" s="1703"/>
      <c r="F1000" s="1703"/>
      <c r="G1000" s="1703"/>
      <c r="H1000" s="1703"/>
      <c r="I1000" s="1703"/>
      <c r="J1000" s="1703"/>
      <c r="K1000" s="1703"/>
      <c r="L1000" s="1703"/>
      <c r="M1000" s="1703"/>
      <c r="N1000" s="1703"/>
      <c r="O1000" s="1703"/>
      <c r="P1000" s="1703"/>
      <c r="Q1000" s="1703"/>
      <c r="R1000" s="1703"/>
      <c r="S1000" s="1703"/>
      <c r="T1000" s="1703"/>
      <c r="U1000" s="1703"/>
      <c r="V1000" s="1703"/>
      <c r="W1000" s="1703"/>
      <c r="X1000" s="1703"/>
      <c r="Y1000" s="1703"/>
      <c r="Z1000" s="1703"/>
      <c r="AA1000" s="1704"/>
      <c r="AB1000" s="1629">
        <f>SUM(AB995:AI999)</f>
        <v>113</v>
      </c>
      <c r="AC1000" s="1630"/>
      <c r="AD1000" s="1630"/>
      <c r="AE1000" s="1630"/>
      <c r="AF1000" s="1630"/>
      <c r="AG1000" s="1630"/>
      <c r="AH1000" s="1630"/>
      <c r="AI1000" s="1631"/>
      <c r="AJ1000" s="1651"/>
      <c r="AK1000" s="1652"/>
      <c r="AL1000" s="1652"/>
      <c r="AM1000" s="1652"/>
      <c r="AN1000" s="1652"/>
      <c r="AO1000" s="1652"/>
      <c r="AP1000" s="1652"/>
      <c r="AQ1000" s="1653"/>
      <c r="AR1000" s="68"/>
      <c r="AS1000" s="68"/>
      <c r="AT1000" s="68"/>
      <c r="AU1000" s="68"/>
      <c r="AV1000" s="68"/>
      <c r="AW1000" s="68"/>
      <c r="AX1000" s="68"/>
      <c r="AY1000" s="68"/>
      <c r="AZ1000" s="34"/>
      <c r="BA1000" s="34"/>
      <c r="BB1000" s="14"/>
      <c r="BC1000" s="14"/>
    </row>
    <row r="1001" spans="1:55" ht="12.9" customHeight="1">
      <c r="A1001" s="14"/>
      <c r="B1001" s="1699" t="s">
        <v>510</v>
      </c>
      <c r="C1001" s="1700"/>
      <c r="D1001" s="1700"/>
      <c r="E1001" s="1700"/>
      <c r="F1001" s="1700"/>
      <c r="G1001" s="1700"/>
      <c r="H1001" s="1700"/>
      <c r="I1001" s="1700"/>
      <c r="J1001" s="1700"/>
      <c r="K1001" s="1700"/>
      <c r="L1001" s="1700"/>
      <c r="M1001" s="1700"/>
      <c r="N1001" s="1700"/>
      <c r="O1001" s="1700"/>
      <c r="P1001" s="1700"/>
      <c r="Q1001" s="1700"/>
      <c r="R1001" s="1700"/>
      <c r="S1001" s="1700"/>
      <c r="T1001" s="1700"/>
      <c r="U1001" s="1700"/>
      <c r="V1001" s="1700"/>
      <c r="W1001" s="1700"/>
      <c r="X1001" s="1700"/>
      <c r="Y1001" s="1700"/>
      <c r="Z1001" s="1700"/>
      <c r="AA1001" s="1700"/>
      <c r="AB1001" s="1700"/>
      <c r="AC1001" s="1700"/>
      <c r="AD1001" s="1700"/>
      <c r="AE1001" s="1700"/>
      <c r="AF1001" s="1700"/>
      <c r="AG1001" s="1700"/>
      <c r="AH1001" s="1700"/>
      <c r="AI1001" s="1701"/>
      <c r="AJ1001" s="1651">
        <f>SUM(AJ995:AQ999)</f>
        <v>92910700</v>
      </c>
      <c r="AK1001" s="1652"/>
      <c r="AL1001" s="1652"/>
      <c r="AM1001" s="1652"/>
      <c r="AN1001" s="1652"/>
      <c r="AO1001" s="1652"/>
      <c r="AP1001" s="1652"/>
      <c r="AQ1001" s="1653"/>
      <c r="AR1001" s="68"/>
      <c r="AS1001" s="68"/>
      <c r="AT1001" s="68"/>
      <c r="AU1001" s="68"/>
      <c r="AV1001" s="68"/>
      <c r="AW1001" s="68"/>
      <c r="AX1001" s="68"/>
      <c r="AY1001" s="68"/>
      <c r="AZ1001" s="34"/>
      <c r="BB1001" s="34"/>
      <c r="BC1001" s="34"/>
    </row>
    <row r="1002" spans="1:55" ht="12.9" customHeight="1">
      <c r="A1002" s="14"/>
      <c r="B1002" s="1671"/>
      <c r="C1002" s="1672"/>
      <c r="D1002" s="1672"/>
      <c r="E1002" s="1672"/>
      <c r="F1002" s="1672"/>
      <c r="G1002" s="1672"/>
      <c r="H1002" s="1672"/>
      <c r="I1002" s="1672"/>
      <c r="J1002" s="1672"/>
      <c r="K1002" s="1672"/>
      <c r="L1002" s="1672"/>
      <c r="M1002" s="1672"/>
      <c r="N1002" s="1672"/>
      <c r="O1002" s="1672"/>
      <c r="P1002" s="1672"/>
      <c r="Q1002" s="1672"/>
      <c r="R1002" s="1672"/>
      <c r="S1002" s="1672"/>
      <c r="T1002" s="1672"/>
      <c r="U1002" s="1672"/>
      <c r="V1002" s="1672"/>
      <c r="W1002" s="1672"/>
      <c r="X1002" s="1672"/>
      <c r="Y1002" s="1672"/>
      <c r="Z1002" s="1672"/>
      <c r="AA1002" s="1672"/>
      <c r="AB1002" s="1672"/>
      <c r="AC1002" s="1672"/>
      <c r="AD1002" s="1672"/>
      <c r="AE1002" s="1673"/>
      <c r="AF1002" s="1714" t="s">
        <v>664</v>
      </c>
      <c r="AG1002" s="1715"/>
      <c r="AH1002" s="1715"/>
      <c r="AI1002" s="1716"/>
      <c r="AJ1002" s="1671"/>
      <c r="AK1002" s="1672"/>
      <c r="AL1002" s="1672"/>
      <c r="AM1002" s="1672"/>
      <c r="AN1002" s="1672"/>
      <c r="AO1002" s="1672"/>
      <c r="AP1002" s="1672"/>
      <c r="AQ1002" s="1673"/>
      <c r="AR1002" s="68"/>
      <c r="AS1002" s="68"/>
      <c r="AT1002" s="68"/>
      <c r="AU1002" s="68"/>
      <c r="AV1002" s="68"/>
      <c r="AW1002" s="68"/>
      <c r="AX1002" s="68"/>
      <c r="AY1002" s="68"/>
      <c r="AZ1002" s="34"/>
      <c r="BA1002" s="34"/>
      <c r="BB1002" s="34"/>
      <c r="BC1002" s="34"/>
    </row>
    <row r="1003" spans="1:55" ht="12.9" customHeight="1">
      <c r="A1003" s="14"/>
      <c r="B1003" s="73"/>
      <c r="C1003" s="918" t="s">
        <v>666</v>
      </c>
      <c r="D1003" s="1663" t="s">
        <v>1217</v>
      </c>
      <c r="E1003" s="1664"/>
      <c r="F1003" s="1664"/>
      <c r="G1003" s="1664"/>
      <c r="H1003" s="1664"/>
      <c r="I1003" s="1664"/>
      <c r="J1003" s="1664"/>
      <c r="K1003" s="1664"/>
      <c r="L1003" s="1664"/>
      <c r="M1003" s="1664"/>
      <c r="N1003" s="1664"/>
      <c r="O1003" s="1664"/>
      <c r="P1003" s="1664"/>
      <c r="Q1003" s="1664"/>
      <c r="R1003" s="1664"/>
      <c r="S1003" s="1664"/>
      <c r="T1003" s="1664"/>
      <c r="U1003" s="1664"/>
      <c r="V1003" s="1664"/>
      <c r="W1003" s="1664"/>
      <c r="X1003" s="1664"/>
      <c r="Y1003" s="1664"/>
      <c r="Z1003" s="1664"/>
      <c r="AA1003" s="1664"/>
      <c r="AB1003" s="1664"/>
      <c r="AC1003" s="1664"/>
      <c r="AD1003" s="1664"/>
      <c r="AE1003" s="1665"/>
      <c r="AF1003" s="79"/>
      <c r="AG1003" s="1717" t="s">
        <v>667</v>
      </c>
      <c r="AH1003" s="1718"/>
      <c r="AI1003" s="87"/>
      <c r="AJ1003" s="1451">
        <f>ROUND(IF(AND(AG1003="yes",D1009&gt;0),AJ1001*0.2,0),0)</f>
        <v>0</v>
      </c>
      <c r="AK1003" s="1452"/>
      <c r="AL1003" s="1452"/>
      <c r="AM1003" s="1452"/>
      <c r="AN1003" s="1452"/>
      <c r="AO1003" s="1452"/>
      <c r="AP1003" s="1452"/>
      <c r="AQ1003" s="1453"/>
      <c r="AR1003" s="68"/>
      <c r="AS1003" s="68"/>
      <c r="AT1003" s="68"/>
      <c r="AU1003" s="68"/>
      <c r="AV1003" s="68"/>
      <c r="AW1003" s="68"/>
      <c r="AX1003" s="68"/>
      <c r="AY1003" s="68"/>
      <c r="AZ1003" s="34"/>
      <c r="BA1003" s="34"/>
      <c r="BB1003" s="34"/>
      <c r="BC1003" s="34"/>
    </row>
    <row r="1004" spans="1:55" ht="12.9" customHeight="1">
      <c r="A1004" s="14"/>
      <c r="B1004" s="257"/>
      <c r="C1004" s="256"/>
      <c r="D1004" s="1613" t="s">
        <v>2181</v>
      </c>
      <c r="E1004" s="1614"/>
      <c r="F1004" s="1614"/>
      <c r="G1004" s="1614"/>
      <c r="H1004" s="1614"/>
      <c r="I1004" s="1614"/>
      <c r="J1004" s="1614"/>
      <c r="K1004" s="1614"/>
      <c r="L1004" s="1614"/>
      <c r="M1004" s="1614"/>
      <c r="N1004" s="1614"/>
      <c r="O1004" s="1614"/>
      <c r="P1004" s="1614"/>
      <c r="Q1004" s="1614"/>
      <c r="R1004" s="1614"/>
      <c r="S1004" s="1614"/>
      <c r="T1004" s="1614"/>
      <c r="U1004" s="1614"/>
      <c r="V1004" s="1614"/>
      <c r="W1004" s="1614"/>
      <c r="X1004" s="1614"/>
      <c r="Y1004" s="1614"/>
      <c r="Z1004" s="1614"/>
      <c r="AA1004" s="1614"/>
      <c r="AB1004" s="1614"/>
      <c r="AC1004" s="1614"/>
      <c r="AD1004" s="1614"/>
      <c r="AE1004" s="1615"/>
      <c r="AF1004" s="73"/>
      <c r="AG1004" s="14"/>
      <c r="AH1004" s="14"/>
      <c r="AI1004" s="83"/>
      <c r="AJ1004" s="1454"/>
      <c r="AK1004" s="1455"/>
      <c r="AL1004" s="1455"/>
      <c r="AM1004" s="1455"/>
      <c r="AN1004" s="1455"/>
      <c r="AO1004" s="1455"/>
      <c r="AP1004" s="1455"/>
      <c r="AQ1004" s="1456"/>
      <c r="AR1004" s="68"/>
      <c r="AS1004" s="68"/>
      <c r="AT1004" s="68"/>
      <c r="AU1004" s="68"/>
      <c r="AV1004" s="68"/>
      <c r="AW1004" s="68"/>
      <c r="AX1004" s="68"/>
      <c r="AY1004" s="68"/>
      <c r="AZ1004" s="34"/>
      <c r="BA1004" s="34"/>
      <c r="BB1004" s="34"/>
      <c r="BC1004" s="34"/>
    </row>
    <row r="1005" spans="1:55" ht="12.9" customHeight="1">
      <c r="A1005" s="14"/>
      <c r="B1005" s="257"/>
      <c r="C1005" s="256"/>
      <c r="D1005" s="1613"/>
      <c r="E1005" s="1614"/>
      <c r="F1005" s="1614"/>
      <c r="G1005" s="1614"/>
      <c r="H1005" s="1614"/>
      <c r="I1005" s="1614"/>
      <c r="J1005" s="1614"/>
      <c r="K1005" s="1614"/>
      <c r="L1005" s="1614"/>
      <c r="M1005" s="1614"/>
      <c r="N1005" s="1614"/>
      <c r="O1005" s="1614"/>
      <c r="P1005" s="1614"/>
      <c r="Q1005" s="1614"/>
      <c r="R1005" s="1614"/>
      <c r="S1005" s="1614"/>
      <c r="T1005" s="1614"/>
      <c r="U1005" s="1614"/>
      <c r="V1005" s="1614"/>
      <c r="W1005" s="1614"/>
      <c r="X1005" s="1614"/>
      <c r="Y1005" s="1614"/>
      <c r="Z1005" s="1614"/>
      <c r="AA1005" s="1614"/>
      <c r="AB1005" s="1614"/>
      <c r="AC1005" s="1614"/>
      <c r="AD1005" s="1614"/>
      <c r="AE1005" s="1615"/>
      <c r="AF1005" s="73"/>
      <c r="AG1005" s="14"/>
      <c r="AH1005" s="14"/>
      <c r="AI1005" s="83"/>
      <c r="AJ1005" s="1454"/>
      <c r="AK1005" s="1455"/>
      <c r="AL1005" s="1455"/>
      <c r="AM1005" s="1455"/>
      <c r="AN1005" s="1455"/>
      <c r="AO1005" s="1455"/>
      <c r="AP1005" s="1455"/>
      <c r="AQ1005" s="1456"/>
      <c r="AR1005" s="68"/>
      <c r="AS1005" s="68"/>
      <c r="AT1005" s="68"/>
      <c r="AU1005" s="68"/>
      <c r="AV1005" s="68"/>
      <c r="AW1005" s="68"/>
      <c r="AX1005" s="68"/>
      <c r="AY1005" s="68"/>
      <c r="AZ1005" s="34"/>
      <c r="BA1005" s="34"/>
      <c r="BB1005" s="34"/>
      <c r="BC1005" s="34"/>
    </row>
    <row r="1006" spans="1:55" ht="12.9" customHeight="1">
      <c r="A1006" s="14"/>
      <c r="B1006" s="257"/>
      <c r="C1006" s="256"/>
      <c r="D1006" s="1613"/>
      <c r="E1006" s="1614"/>
      <c r="F1006" s="1614"/>
      <c r="G1006" s="1614"/>
      <c r="H1006" s="1614"/>
      <c r="I1006" s="1614"/>
      <c r="J1006" s="1614"/>
      <c r="K1006" s="1614"/>
      <c r="L1006" s="1614"/>
      <c r="M1006" s="1614"/>
      <c r="N1006" s="1614"/>
      <c r="O1006" s="1614"/>
      <c r="P1006" s="1614"/>
      <c r="Q1006" s="1614"/>
      <c r="R1006" s="1614"/>
      <c r="S1006" s="1614"/>
      <c r="T1006" s="1614"/>
      <c r="U1006" s="1614"/>
      <c r="V1006" s="1614"/>
      <c r="W1006" s="1614"/>
      <c r="X1006" s="1614"/>
      <c r="Y1006" s="1614"/>
      <c r="Z1006" s="1614"/>
      <c r="AA1006" s="1614"/>
      <c r="AB1006" s="1614"/>
      <c r="AC1006" s="1614"/>
      <c r="AD1006" s="1614"/>
      <c r="AE1006" s="1615"/>
      <c r="AF1006" s="73"/>
      <c r="AG1006" s="14"/>
      <c r="AH1006" s="14"/>
      <c r="AI1006" s="83"/>
      <c r="AJ1006" s="1454"/>
      <c r="AK1006" s="1455"/>
      <c r="AL1006" s="1455"/>
      <c r="AM1006" s="1455"/>
      <c r="AN1006" s="1455"/>
      <c r="AO1006" s="1455"/>
      <c r="AP1006" s="1455"/>
      <c r="AQ1006" s="1456"/>
      <c r="AR1006" s="68"/>
      <c r="AS1006" s="68"/>
      <c r="AT1006" s="68"/>
      <c r="AU1006" s="68"/>
      <c r="AV1006" s="68"/>
      <c r="AW1006" s="68"/>
      <c r="AX1006" s="68"/>
      <c r="AY1006" s="68"/>
      <c r="AZ1006" s="34"/>
      <c r="BA1006" s="34"/>
      <c r="BB1006" s="34"/>
      <c r="BC1006" s="34"/>
    </row>
    <row r="1007" spans="1:55" ht="12.9" customHeight="1">
      <c r="A1007" s="14"/>
      <c r="B1007" s="257"/>
      <c r="C1007" s="256"/>
      <c r="D1007" s="1613"/>
      <c r="E1007" s="1614"/>
      <c r="F1007" s="1614"/>
      <c r="G1007" s="1614"/>
      <c r="H1007" s="1614"/>
      <c r="I1007" s="1614"/>
      <c r="J1007" s="1614"/>
      <c r="K1007" s="1614"/>
      <c r="L1007" s="1614"/>
      <c r="M1007" s="1614"/>
      <c r="N1007" s="1614"/>
      <c r="O1007" s="1614"/>
      <c r="P1007" s="1614"/>
      <c r="Q1007" s="1614"/>
      <c r="R1007" s="1614"/>
      <c r="S1007" s="1614"/>
      <c r="T1007" s="1614"/>
      <c r="U1007" s="1614"/>
      <c r="V1007" s="1614"/>
      <c r="W1007" s="1614"/>
      <c r="X1007" s="1614"/>
      <c r="Y1007" s="1614"/>
      <c r="Z1007" s="1614"/>
      <c r="AA1007" s="1614"/>
      <c r="AB1007" s="1614"/>
      <c r="AC1007" s="1614"/>
      <c r="AD1007" s="1614"/>
      <c r="AE1007" s="1615"/>
      <c r="AF1007" s="73"/>
      <c r="AG1007" s="14"/>
      <c r="AH1007" s="14"/>
      <c r="AI1007" s="83"/>
      <c r="AJ1007" s="1454"/>
      <c r="AK1007" s="1455"/>
      <c r="AL1007" s="1455"/>
      <c r="AM1007" s="1455"/>
      <c r="AN1007" s="1455"/>
      <c r="AO1007" s="1455"/>
      <c r="AP1007" s="1455"/>
      <c r="AQ1007" s="1456"/>
      <c r="AR1007" s="68"/>
      <c r="AS1007" s="68"/>
      <c r="AT1007" s="68"/>
      <c r="AU1007" s="68"/>
      <c r="AV1007" s="68"/>
      <c r="AW1007" s="68"/>
      <c r="AX1007" s="68"/>
      <c r="AY1007" s="68"/>
      <c r="AZ1007" s="34"/>
      <c r="BA1007" s="34"/>
      <c r="BB1007" s="34"/>
      <c r="BC1007" s="34"/>
    </row>
    <row r="1008" spans="1:55" ht="12.9" customHeight="1">
      <c r="A1008" s="14"/>
      <c r="B1008" s="257"/>
      <c r="C1008" s="256"/>
      <c r="D1008" s="1616" t="s">
        <v>2152</v>
      </c>
      <c r="E1008" s="1617"/>
      <c r="F1008" s="1617"/>
      <c r="G1008" s="1617"/>
      <c r="H1008" s="1617"/>
      <c r="I1008" s="1617"/>
      <c r="J1008" s="1617"/>
      <c r="K1008" s="1617"/>
      <c r="L1008" s="1617"/>
      <c r="M1008" s="1617"/>
      <c r="N1008" s="1617"/>
      <c r="O1008" s="1617"/>
      <c r="P1008" s="1617"/>
      <c r="Q1008" s="1617"/>
      <c r="R1008" s="1617"/>
      <c r="S1008" s="1617"/>
      <c r="T1008" s="1617"/>
      <c r="U1008" s="1617"/>
      <c r="V1008" s="1617"/>
      <c r="W1008" s="1617"/>
      <c r="X1008" s="1617"/>
      <c r="Y1008" s="1617"/>
      <c r="Z1008" s="1617"/>
      <c r="AA1008" s="1617"/>
      <c r="AB1008" s="1617"/>
      <c r="AC1008" s="1617"/>
      <c r="AD1008" s="1617"/>
      <c r="AE1008" s="1618"/>
      <c r="AF1008" s="73"/>
      <c r="AG1008" s="14"/>
      <c r="AH1008" s="14"/>
      <c r="AI1008" s="83"/>
      <c r="AJ1008" s="1454"/>
      <c r="AK1008" s="1455"/>
      <c r="AL1008" s="1455"/>
      <c r="AM1008" s="1455"/>
      <c r="AN1008" s="1455"/>
      <c r="AO1008" s="1455"/>
      <c r="AP1008" s="1455"/>
      <c r="AQ1008" s="1456"/>
      <c r="AR1008" s="68"/>
      <c r="AS1008" s="68"/>
      <c r="AT1008" s="68"/>
      <c r="AU1008" s="68"/>
      <c r="AV1008" s="68"/>
      <c r="AW1008" s="68"/>
      <c r="AX1008" s="68"/>
      <c r="AY1008" s="68"/>
      <c r="AZ1008" s="34"/>
      <c r="BA1008" s="34"/>
      <c r="BB1008" s="34"/>
      <c r="BC1008" s="34"/>
    </row>
    <row r="1009" spans="1:55" ht="12.9" customHeight="1">
      <c r="A1009" s="14"/>
      <c r="B1009" s="257"/>
      <c r="C1009" s="256"/>
      <c r="D1009" s="1690"/>
      <c r="E1009" s="1691"/>
      <c r="F1009" s="1691"/>
      <c r="G1009" s="1691"/>
      <c r="H1009" s="1691"/>
      <c r="I1009" s="1691"/>
      <c r="J1009" s="1691"/>
      <c r="K1009" s="1691"/>
      <c r="L1009" s="1691"/>
      <c r="M1009" s="1691"/>
      <c r="N1009" s="1691"/>
      <c r="O1009" s="1691"/>
      <c r="P1009" s="1691"/>
      <c r="Q1009" s="1691"/>
      <c r="R1009" s="1691"/>
      <c r="S1009" s="1691"/>
      <c r="T1009" s="1691"/>
      <c r="U1009" s="1691"/>
      <c r="V1009" s="1691"/>
      <c r="W1009" s="1691"/>
      <c r="X1009" s="1691"/>
      <c r="Y1009" s="1691"/>
      <c r="Z1009" s="1691"/>
      <c r="AA1009" s="1691"/>
      <c r="AB1009" s="1691"/>
      <c r="AC1009" s="1691"/>
      <c r="AD1009" s="1691"/>
      <c r="AE1009" s="1692"/>
      <c r="AF1009" s="77"/>
      <c r="AG1009" s="7"/>
      <c r="AH1009" s="7"/>
      <c r="AI1009" s="78"/>
      <c r="AJ1009" s="1457"/>
      <c r="AK1009" s="1458"/>
      <c r="AL1009" s="1458"/>
      <c r="AM1009" s="1458"/>
      <c r="AN1009" s="1458"/>
      <c r="AO1009" s="1458"/>
      <c r="AP1009" s="1458"/>
      <c r="AQ1009" s="1459"/>
      <c r="AR1009" s="68"/>
      <c r="AS1009" s="68"/>
      <c r="AT1009" s="68"/>
      <c r="AU1009" s="68"/>
      <c r="AV1009" s="68"/>
      <c r="AW1009" s="68"/>
      <c r="AX1009" s="68"/>
      <c r="AY1009" s="68"/>
      <c r="AZ1009" s="34"/>
      <c r="BA1009" s="34"/>
      <c r="BB1009" s="34"/>
      <c r="BC1009" s="34"/>
    </row>
    <row r="1010" spans="1:55" ht="12.9" customHeight="1">
      <c r="A1010" s="14"/>
      <c r="B1010" s="255"/>
      <c r="C1010" s="315"/>
      <c r="D1010" s="1619" t="s">
        <v>1283</v>
      </c>
      <c r="E1010" s="1620"/>
      <c r="F1010" s="1620"/>
      <c r="G1010" s="1620"/>
      <c r="H1010" s="1620"/>
      <c r="I1010" s="1620"/>
      <c r="J1010" s="1620"/>
      <c r="K1010" s="1620"/>
      <c r="L1010" s="1620"/>
      <c r="M1010" s="1620"/>
      <c r="N1010" s="1620"/>
      <c r="O1010" s="1620"/>
      <c r="P1010" s="1620"/>
      <c r="Q1010" s="1620"/>
      <c r="R1010" s="1620"/>
      <c r="S1010" s="1620"/>
      <c r="T1010" s="1620"/>
      <c r="U1010" s="1620"/>
      <c r="V1010" s="1620"/>
      <c r="W1010" s="1620"/>
      <c r="X1010" s="1620"/>
      <c r="Y1010" s="1620"/>
      <c r="Z1010" s="1620"/>
      <c r="AA1010" s="1620"/>
      <c r="AB1010" s="1620"/>
      <c r="AC1010" s="1620"/>
      <c r="AD1010" s="1620"/>
      <c r="AE1010" s="1621"/>
      <c r="AF1010" s="79"/>
      <c r="AG1010" s="1646" t="s">
        <v>667</v>
      </c>
      <c r="AH1010" s="1647"/>
      <c r="AI1010" s="87"/>
      <c r="AJ1010" s="1451">
        <f>ROUND(IF(AG1010="yes",AJ1001*0.05,0),0)</f>
        <v>0</v>
      </c>
      <c r="AK1010" s="1452"/>
      <c r="AL1010" s="1452"/>
      <c r="AM1010" s="1452"/>
      <c r="AN1010" s="1452"/>
      <c r="AO1010" s="1452"/>
      <c r="AP1010" s="1452"/>
      <c r="AQ1010" s="1453"/>
      <c r="AR1010" s="68"/>
      <c r="AS1010" s="68"/>
      <c r="AT1010" s="68"/>
      <c r="AU1010" s="68"/>
      <c r="AV1010" s="68"/>
      <c r="AW1010" s="68"/>
      <c r="AX1010" s="68"/>
      <c r="AY1010" s="68"/>
      <c r="AZ1010" s="34"/>
      <c r="BA1010" s="34"/>
      <c r="BB1010" s="34"/>
      <c r="BC1010" s="34"/>
    </row>
    <row r="1011" spans="1:55" ht="12.9" customHeight="1">
      <c r="A1011" s="14"/>
      <c r="B1011" s="257"/>
      <c r="C1011" s="82"/>
      <c r="D1011" s="1613" t="s">
        <v>1281</v>
      </c>
      <c r="E1011" s="1614"/>
      <c r="F1011" s="1614"/>
      <c r="G1011" s="1614"/>
      <c r="H1011" s="1614"/>
      <c r="I1011" s="1614"/>
      <c r="J1011" s="1614"/>
      <c r="K1011" s="1614"/>
      <c r="L1011" s="1614"/>
      <c r="M1011" s="1614"/>
      <c r="N1011" s="1614"/>
      <c r="O1011" s="1614"/>
      <c r="P1011" s="1614"/>
      <c r="Q1011" s="1614"/>
      <c r="R1011" s="1614"/>
      <c r="S1011" s="1614"/>
      <c r="T1011" s="1614"/>
      <c r="U1011" s="1614"/>
      <c r="V1011" s="1614"/>
      <c r="W1011" s="1614"/>
      <c r="X1011" s="1614"/>
      <c r="Y1011" s="1614"/>
      <c r="Z1011" s="1614"/>
      <c r="AA1011" s="1614"/>
      <c r="AB1011" s="1614"/>
      <c r="AC1011" s="1614"/>
      <c r="AD1011" s="1614"/>
      <c r="AE1011" s="1615"/>
      <c r="AF1011" s="73"/>
      <c r="AG1011" s="14"/>
      <c r="AH1011" s="14"/>
      <c r="AI1011" s="83"/>
      <c r="AJ1011" s="1454"/>
      <c r="AK1011" s="1455"/>
      <c r="AL1011" s="1455"/>
      <c r="AM1011" s="1455"/>
      <c r="AN1011" s="1455"/>
      <c r="AO1011" s="1455"/>
      <c r="AP1011" s="1455"/>
      <c r="AQ1011" s="1456"/>
      <c r="AR1011" s="68"/>
      <c r="AS1011" s="68"/>
      <c r="AT1011" s="68"/>
      <c r="AU1011" s="68"/>
      <c r="AV1011" s="68"/>
      <c r="AW1011" s="68"/>
      <c r="AX1011" s="68"/>
      <c r="AY1011" s="34"/>
      <c r="AZ1011" s="34"/>
      <c r="BB1011" s="34"/>
    </row>
    <row r="1012" spans="1:55" ht="12.9" customHeight="1">
      <c r="A1012" s="14"/>
      <c r="B1012" s="257"/>
      <c r="C1012" s="82"/>
      <c r="D1012" s="1613"/>
      <c r="E1012" s="1614"/>
      <c r="F1012" s="1614"/>
      <c r="G1012" s="1614"/>
      <c r="H1012" s="1614"/>
      <c r="I1012" s="1614"/>
      <c r="J1012" s="1614"/>
      <c r="K1012" s="1614"/>
      <c r="L1012" s="1614"/>
      <c r="M1012" s="1614"/>
      <c r="N1012" s="1614"/>
      <c r="O1012" s="1614"/>
      <c r="P1012" s="1614"/>
      <c r="Q1012" s="1614"/>
      <c r="R1012" s="1614"/>
      <c r="S1012" s="1614"/>
      <c r="T1012" s="1614"/>
      <c r="U1012" s="1614"/>
      <c r="V1012" s="1614"/>
      <c r="W1012" s="1614"/>
      <c r="X1012" s="1614"/>
      <c r="Y1012" s="1614"/>
      <c r="Z1012" s="1614"/>
      <c r="AA1012" s="1614"/>
      <c r="AB1012" s="1614"/>
      <c r="AC1012" s="1614"/>
      <c r="AD1012" s="1614"/>
      <c r="AE1012" s="1615"/>
      <c r="AF1012" s="73"/>
      <c r="AG1012" s="14"/>
      <c r="AH1012" s="14"/>
      <c r="AI1012" s="83"/>
      <c r="AJ1012" s="1454"/>
      <c r="AK1012" s="1455"/>
      <c r="AL1012" s="1455"/>
      <c r="AM1012" s="1455"/>
      <c r="AN1012" s="1455"/>
      <c r="AO1012" s="1455"/>
      <c r="AP1012" s="1455"/>
      <c r="AQ1012" s="1456"/>
      <c r="AR1012" s="68"/>
      <c r="AS1012" s="68"/>
      <c r="AT1012" s="68"/>
      <c r="AU1012" s="68"/>
      <c r="AV1012" s="68"/>
      <c r="AW1012" s="68"/>
      <c r="AX1012" s="68"/>
      <c r="AY1012" s="905">
        <f>G761+O805</f>
        <v>112</v>
      </c>
      <c r="AZ1012" s="34"/>
      <c r="BB1012" s="34"/>
    </row>
    <row r="1013" spans="1:55" ht="12.9" customHeight="1">
      <c r="A1013" s="14"/>
      <c r="B1013" s="257"/>
      <c r="C1013" s="82"/>
      <c r="D1013" s="1613"/>
      <c r="E1013" s="1614"/>
      <c r="F1013" s="1614"/>
      <c r="G1013" s="1614"/>
      <c r="H1013" s="1614"/>
      <c r="I1013" s="1614"/>
      <c r="J1013" s="1614"/>
      <c r="K1013" s="1614"/>
      <c r="L1013" s="1614"/>
      <c r="M1013" s="1614"/>
      <c r="N1013" s="1614"/>
      <c r="O1013" s="1614"/>
      <c r="P1013" s="1614"/>
      <c r="Q1013" s="1614"/>
      <c r="R1013" s="1614"/>
      <c r="S1013" s="1614"/>
      <c r="T1013" s="1614"/>
      <c r="U1013" s="1614"/>
      <c r="V1013" s="1614"/>
      <c r="W1013" s="1614"/>
      <c r="X1013" s="1614"/>
      <c r="Y1013" s="1614"/>
      <c r="Z1013" s="1614"/>
      <c r="AA1013" s="1614"/>
      <c r="AB1013" s="1614"/>
      <c r="AC1013" s="1614"/>
      <c r="AD1013" s="1614"/>
      <c r="AE1013" s="1615"/>
      <c r="AF1013" s="73"/>
      <c r="AG1013" s="14"/>
      <c r="AH1013" s="14"/>
      <c r="AI1013" s="83"/>
      <c r="AJ1013" s="1454"/>
      <c r="AK1013" s="1455"/>
      <c r="AL1013" s="1455"/>
      <c r="AM1013" s="1455"/>
      <c r="AN1013" s="1455"/>
      <c r="AO1013" s="1455"/>
      <c r="AP1013" s="1455"/>
      <c r="AQ1013" s="1456"/>
      <c r="AR1013" s="68"/>
      <c r="AS1013" s="68"/>
      <c r="AT1013" s="68"/>
      <c r="AU1013" s="68"/>
      <c r="AV1013" s="68"/>
      <c r="AW1013" s="68"/>
      <c r="AX1013" s="68"/>
      <c r="AY1013" s="14"/>
      <c r="AZ1013" s="34"/>
      <c r="BB1013" s="34"/>
    </row>
    <row r="1014" spans="1:55" ht="12.9" customHeight="1">
      <c r="A1014" s="14"/>
      <c r="B1014" s="257"/>
      <c r="C1014" s="82"/>
      <c r="D1014" s="1613"/>
      <c r="E1014" s="1614"/>
      <c r="F1014" s="1614"/>
      <c r="G1014" s="1614"/>
      <c r="H1014" s="1614"/>
      <c r="I1014" s="1614"/>
      <c r="J1014" s="1614"/>
      <c r="K1014" s="1614"/>
      <c r="L1014" s="1614"/>
      <c r="M1014" s="1614"/>
      <c r="N1014" s="1614"/>
      <c r="O1014" s="1614"/>
      <c r="P1014" s="1614"/>
      <c r="Q1014" s="1614"/>
      <c r="R1014" s="1614"/>
      <c r="S1014" s="1614"/>
      <c r="T1014" s="1614"/>
      <c r="U1014" s="1614"/>
      <c r="V1014" s="1614"/>
      <c r="W1014" s="1614"/>
      <c r="X1014" s="1614"/>
      <c r="Y1014" s="1614"/>
      <c r="Z1014" s="1614"/>
      <c r="AA1014" s="1614"/>
      <c r="AB1014" s="1614"/>
      <c r="AC1014" s="1614"/>
      <c r="AD1014" s="1614"/>
      <c r="AE1014" s="1615"/>
      <c r="AF1014" s="73"/>
      <c r="AG1014" s="14"/>
      <c r="AH1014" s="14"/>
      <c r="AI1014" s="83"/>
      <c r="AJ1014" s="1454"/>
      <c r="AK1014" s="1455"/>
      <c r="AL1014" s="1455"/>
      <c r="AM1014" s="1455"/>
      <c r="AN1014" s="1455"/>
      <c r="AO1014" s="1455"/>
      <c r="AP1014" s="1455"/>
      <c r="AQ1014" s="1456"/>
      <c r="AR1014" s="68"/>
      <c r="AS1014" s="68"/>
      <c r="AT1014" s="68"/>
      <c r="AU1014" s="68"/>
      <c r="AV1014" s="68"/>
      <c r="AW1014" s="68"/>
      <c r="AX1014" s="68"/>
      <c r="AY1014" s="904">
        <f>ROUNDDOWN(X1057/I1057,2)</f>
        <v>0.11</v>
      </c>
      <c r="AZ1014" s="34"/>
      <c r="BB1014" s="34"/>
    </row>
    <row r="1015" spans="1:55" ht="12.9" customHeight="1">
      <c r="A1015" s="14"/>
      <c r="B1015" s="75"/>
      <c r="C1015" s="76"/>
      <c r="D1015" s="1616"/>
      <c r="E1015" s="1617"/>
      <c r="F1015" s="1617"/>
      <c r="G1015" s="1617"/>
      <c r="H1015" s="1617"/>
      <c r="I1015" s="1617"/>
      <c r="J1015" s="1617"/>
      <c r="K1015" s="1617"/>
      <c r="L1015" s="1617"/>
      <c r="M1015" s="1617"/>
      <c r="N1015" s="1617"/>
      <c r="O1015" s="1617"/>
      <c r="P1015" s="1617"/>
      <c r="Q1015" s="1617"/>
      <c r="R1015" s="1617"/>
      <c r="S1015" s="1617"/>
      <c r="T1015" s="1617"/>
      <c r="U1015" s="1617"/>
      <c r="V1015" s="1617"/>
      <c r="W1015" s="1617"/>
      <c r="X1015" s="1617"/>
      <c r="Y1015" s="1617"/>
      <c r="Z1015" s="1617"/>
      <c r="AA1015" s="1617"/>
      <c r="AB1015" s="1617"/>
      <c r="AC1015" s="1617"/>
      <c r="AD1015" s="1617"/>
      <c r="AE1015" s="1618"/>
      <c r="AF1015" s="77"/>
      <c r="AG1015" s="7"/>
      <c r="AH1015" s="7"/>
      <c r="AI1015" s="78"/>
      <c r="AJ1015" s="1457"/>
      <c r="AK1015" s="1458"/>
      <c r="AL1015" s="1458"/>
      <c r="AM1015" s="1458"/>
      <c r="AN1015" s="1458"/>
      <c r="AO1015" s="1458"/>
      <c r="AP1015" s="1458"/>
      <c r="AQ1015" s="1459"/>
      <c r="AR1015" s="68"/>
      <c r="AS1015" s="68"/>
      <c r="AT1015" s="68"/>
      <c r="AU1015" s="68"/>
      <c r="AV1015" s="68"/>
      <c r="AW1015" s="68"/>
      <c r="AX1015" s="68"/>
      <c r="AY1015" s="904">
        <f>ROUNDDOWN(X1061/I1061,2)</f>
        <v>0.11</v>
      </c>
      <c r="AZ1015" s="34"/>
      <c r="BB1015" s="34"/>
    </row>
    <row r="1016" spans="1:55" ht="12.9" customHeight="1">
      <c r="A1016" s="14"/>
      <c r="B1016" s="255"/>
      <c r="C1016" s="80" t="s">
        <v>670</v>
      </c>
      <c r="D1016" s="1619" t="s">
        <v>1669</v>
      </c>
      <c r="E1016" s="1620"/>
      <c r="F1016" s="1620"/>
      <c r="G1016" s="1620"/>
      <c r="H1016" s="1620"/>
      <c r="I1016" s="1620"/>
      <c r="J1016" s="1620"/>
      <c r="K1016" s="1620"/>
      <c r="L1016" s="1620"/>
      <c r="M1016" s="1620"/>
      <c r="N1016" s="1620"/>
      <c r="O1016" s="1620"/>
      <c r="P1016" s="1620"/>
      <c r="Q1016" s="1620"/>
      <c r="R1016" s="1620"/>
      <c r="S1016" s="1620"/>
      <c r="T1016" s="1620"/>
      <c r="U1016" s="1620"/>
      <c r="V1016" s="1620"/>
      <c r="W1016" s="1620"/>
      <c r="X1016" s="1620"/>
      <c r="Y1016" s="1620"/>
      <c r="Z1016" s="1620"/>
      <c r="AA1016" s="1620"/>
      <c r="AB1016" s="1620"/>
      <c r="AC1016" s="1620"/>
      <c r="AD1016" s="1620"/>
      <c r="AE1016" s="1621"/>
      <c r="AF1016" s="86"/>
      <c r="AG1016" s="1646" t="s">
        <v>667</v>
      </c>
      <c r="AH1016" s="1647"/>
      <c r="AI1016" s="87"/>
      <c r="AJ1016" s="1451">
        <f>ROUND(IF(AG1016="yes",AJ1001*0.1,0),0)</f>
        <v>0</v>
      </c>
      <c r="AK1016" s="1452"/>
      <c r="AL1016" s="1452"/>
      <c r="AM1016" s="1452"/>
      <c r="AN1016" s="1452"/>
      <c r="AO1016" s="1452"/>
      <c r="AP1016" s="1452"/>
      <c r="AQ1016" s="1453"/>
      <c r="AR1016" s="68"/>
      <c r="AS1016" s="68"/>
      <c r="AT1016" s="68"/>
      <c r="AU1016" s="68"/>
      <c r="AV1016" s="68"/>
      <c r="AW1016" s="68"/>
      <c r="AX1016" s="68"/>
      <c r="BB1016" s="34"/>
    </row>
    <row r="1017" spans="1:55" ht="12.9" customHeight="1">
      <c r="A1017" s="14"/>
      <c r="B1017" s="73"/>
      <c r="C1017" s="74"/>
      <c r="D1017" s="1637" t="s">
        <v>1282</v>
      </c>
      <c r="E1017" s="1638"/>
      <c r="F1017" s="1638"/>
      <c r="G1017" s="1638"/>
      <c r="H1017" s="1638"/>
      <c r="I1017" s="1638"/>
      <c r="J1017" s="1638"/>
      <c r="K1017" s="1638"/>
      <c r="L1017" s="1638"/>
      <c r="M1017" s="1638"/>
      <c r="N1017" s="1638"/>
      <c r="O1017" s="1638"/>
      <c r="P1017" s="1638"/>
      <c r="Q1017" s="1638"/>
      <c r="R1017" s="1638"/>
      <c r="S1017" s="1638"/>
      <c r="T1017" s="1638"/>
      <c r="U1017" s="1638"/>
      <c r="V1017" s="1638"/>
      <c r="W1017" s="1638"/>
      <c r="X1017" s="1638"/>
      <c r="Y1017" s="1638"/>
      <c r="Z1017" s="1638"/>
      <c r="AA1017" s="1638"/>
      <c r="AB1017" s="1638"/>
      <c r="AC1017" s="1638"/>
      <c r="AD1017" s="1638"/>
      <c r="AE1017" s="1639"/>
      <c r="AF1017" s="73"/>
      <c r="AI1017" s="83"/>
      <c r="AJ1017" s="1454"/>
      <c r="AK1017" s="1455"/>
      <c r="AL1017" s="1455"/>
      <c r="AM1017" s="1455"/>
      <c r="AN1017" s="1455"/>
      <c r="AO1017" s="1455"/>
      <c r="AP1017" s="1455"/>
      <c r="AQ1017" s="1456"/>
      <c r="AR1017" s="68"/>
      <c r="AS1017" s="68"/>
      <c r="AT1017" s="68"/>
      <c r="AU1017" s="68"/>
      <c r="AV1017" s="68"/>
      <c r="AW1017" s="68"/>
      <c r="AX1017" s="68"/>
    </row>
    <row r="1018" spans="1:55" ht="12.9" customHeight="1">
      <c r="A1018" s="14"/>
      <c r="B1018" s="73"/>
      <c r="C1018" s="74"/>
      <c r="D1018" s="1637"/>
      <c r="E1018" s="1638"/>
      <c r="F1018" s="1638"/>
      <c r="G1018" s="1638"/>
      <c r="H1018" s="1638"/>
      <c r="I1018" s="1638"/>
      <c r="J1018" s="1638"/>
      <c r="K1018" s="1638"/>
      <c r="L1018" s="1638"/>
      <c r="M1018" s="1638"/>
      <c r="N1018" s="1638"/>
      <c r="O1018" s="1638"/>
      <c r="P1018" s="1638"/>
      <c r="Q1018" s="1638"/>
      <c r="R1018" s="1638"/>
      <c r="S1018" s="1638"/>
      <c r="T1018" s="1638"/>
      <c r="U1018" s="1638"/>
      <c r="V1018" s="1638"/>
      <c r="W1018" s="1638"/>
      <c r="X1018" s="1638"/>
      <c r="Y1018" s="1638"/>
      <c r="Z1018" s="1638"/>
      <c r="AA1018" s="1638"/>
      <c r="AB1018" s="1638"/>
      <c r="AC1018" s="1638"/>
      <c r="AD1018" s="1638"/>
      <c r="AE1018" s="1639"/>
      <c r="AF1018" s="73"/>
      <c r="AG1018" s="14"/>
      <c r="AH1018" s="14"/>
      <c r="AI1018" s="83"/>
      <c r="AJ1018" s="1454"/>
      <c r="AK1018" s="1455"/>
      <c r="AL1018" s="1455"/>
      <c r="AM1018" s="1455"/>
      <c r="AN1018" s="1455"/>
      <c r="AO1018" s="1455"/>
      <c r="AP1018" s="1455"/>
      <c r="AQ1018" s="1456"/>
      <c r="AR1018" s="68"/>
      <c r="AS1018" s="68"/>
      <c r="AT1018" s="68"/>
      <c r="AU1018" s="68"/>
      <c r="AV1018" s="68"/>
      <c r="AW1018" s="68"/>
      <c r="AX1018" s="68"/>
    </row>
    <row r="1019" spans="1:55" ht="12.9" customHeight="1">
      <c r="A1019" s="14"/>
      <c r="B1019" s="85"/>
      <c r="C1019" s="76"/>
      <c r="D1019" s="1622"/>
      <c r="E1019" s="1623"/>
      <c r="F1019" s="1623"/>
      <c r="G1019" s="1623"/>
      <c r="H1019" s="1623"/>
      <c r="I1019" s="1623"/>
      <c r="J1019" s="1623"/>
      <c r="K1019" s="1623"/>
      <c r="L1019" s="1623"/>
      <c r="M1019" s="1623"/>
      <c r="N1019" s="1623"/>
      <c r="O1019" s="1623"/>
      <c r="P1019" s="1623"/>
      <c r="Q1019" s="1623"/>
      <c r="R1019" s="1623"/>
      <c r="S1019" s="1623"/>
      <c r="T1019" s="1623"/>
      <c r="U1019" s="1623"/>
      <c r="V1019" s="1623"/>
      <c r="W1019" s="1623"/>
      <c r="X1019" s="1623"/>
      <c r="Y1019" s="1623"/>
      <c r="Z1019" s="1623"/>
      <c r="AA1019" s="1623"/>
      <c r="AB1019" s="1623"/>
      <c r="AC1019" s="1623"/>
      <c r="AD1019" s="1623"/>
      <c r="AE1019" s="1624"/>
      <c r="AF1019" s="77"/>
      <c r="AG1019" s="7"/>
      <c r="AH1019" s="7"/>
      <c r="AI1019" s="78"/>
      <c r="AJ1019" s="1457"/>
      <c r="AK1019" s="1458"/>
      <c r="AL1019" s="1458"/>
      <c r="AM1019" s="1458"/>
      <c r="AN1019" s="1458"/>
      <c r="AO1019" s="1458"/>
      <c r="AP1019" s="1458"/>
      <c r="AQ1019" s="1459"/>
      <c r="AR1019" s="68"/>
      <c r="AS1019" s="68"/>
      <c r="AT1019" s="68"/>
      <c r="AU1019" s="68"/>
      <c r="AV1019" s="68"/>
      <c r="AW1019" s="68"/>
      <c r="AX1019" s="68"/>
    </row>
    <row r="1020" spans="1:55" ht="12.9" customHeight="1">
      <c r="A1020" s="14"/>
      <c r="B1020" s="79"/>
      <c r="C1020" s="80" t="s">
        <v>212</v>
      </c>
      <c r="D1020" s="1619" t="s">
        <v>1284</v>
      </c>
      <c r="E1020" s="1620"/>
      <c r="F1020" s="1620"/>
      <c r="G1020" s="1620"/>
      <c r="H1020" s="1620"/>
      <c r="I1020" s="1620"/>
      <c r="J1020" s="1620"/>
      <c r="K1020" s="1620"/>
      <c r="L1020" s="1620"/>
      <c r="M1020" s="1620"/>
      <c r="N1020" s="1620"/>
      <c r="O1020" s="1620"/>
      <c r="P1020" s="1620"/>
      <c r="Q1020" s="1620"/>
      <c r="R1020" s="1620"/>
      <c r="S1020" s="1620"/>
      <c r="T1020" s="1620"/>
      <c r="U1020" s="1620"/>
      <c r="V1020" s="1620"/>
      <c r="W1020" s="1620"/>
      <c r="X1020" s="1620"/>
      <c r="Y1020" s="1620"/>
      <c r="Z1020" s="1620"/>
      <c r="AA1020" s="1620"/>
      <c r="AB1020" s="1620"/>
      <c r="AC1020" s="1620"/>
      <c r="AD1020" s="1620"/>
      <c r="AE1020" s="1621"/>
      <c r="AF1020" s="79"/>
      <c r="AG1020" s="1646" t="s">
        <v>667</v>
      </c>
      <c r="AH1020" s="1647"/>
      <c r="AI1020" s="87"/>
      <c r="AJ1020" s="1451">
        <f>ROUND(IF(AG1020="yes",AJ1001*0.02,0),0)</f>
        <v>0</v>
      </c>
      <c r="AK1020" s="1452"/>
      <c r="AL1020" s="1452"/>
      <c r="AM1020" s="1452"/>
      <c r="AN1020" s="1452"/>
      <c r="AO1020" s="1452"/>
      <c r="AP1020" s="1452"/>
      <c r="AQ1020" s="1453"/>
      <c r="AR1020" s="68"/>
      <c r="AS1020" s="68"/>
      <c r="AT1020" s="68"/>
      <c r="AU1020" s="68"/>
      <c r="AV1020" s="68"/>
      <c r="AW1020" s="68"/>
      <c r="AX1020" s="68"/>
    </row>
    <row r="1021" spans="1:55" ht="14.25" customHeight="1">
      <c r="A1021" s="14"/>
      <c r="B1021" s="73"/>
      <c r="C1021" s="74"/>
      <c r="D1021" s="1622" t="s">
        <v>1285</v>
      </c>
      <c r="E1021" s="1623"/>
      <c r="F1021" s="1623"/>
      <c r="G1021" s="1623"/>
      <c r="H1021" s="1623"/>
      <c r="I1021" s="1623"/>
      <c r="J1021" s="1623"/>
      <c r="K1021" s="1623"/>
      <c r="L1021" s="1623"/>
      <c r="M1021" s="1623"/>
      <c r="N1021" s="1623"/>
      <c r="O1021" s="1623"/>
      <c r="P1021" s="1623"/>
      <c r="Q1021" s="1623"/>
      <c r="R1021" s="1623"/>
      <c r="S1021" s="1623"/>
      <c r="T1021" s="1623"/>
      <c r="U1021" s="1623"/>
      <c r="V1021" s="1623"/>
      <c r="W1021" s="1623"/>
      <c r="X1021" s="1623"/>
      <c r="Y1021" s="1623"/>
      <c r="Z1021" s="1623"/>
      <c r="AA1021" s="1623"/>
      <c r="AB1021" s="1623"/>
      <c r="AC1021" s="1623"/>
      <c r="AD1021" s="1623"/>
      <c r="AE1021" s="1624"/>
      <c r="AF1021" s="77"/>
      <c r="AG1021" s="7"/>
      <c r="AH1021" s="7"/>
      <c r="AI1021" s="78"/>
      <c r="AJ1021" s="1457"/>
      <c r="AK1021" s="1458"/>
      <c r="AL1021" s="1458"/>
      <c r="AM1021" s="1458"/>
      <c r="AN1021" s="1458"/>
      <c r="AO1021" s="1458"/>
      <c r="AP1021" s="1458"/>
      <c r="AQ1021" s="1459"/>
      <c r="AR1021" s="68"/>
      <c r="AS1021" s="68"/>
      <c r="AT1021" s="68"/>
      <c r="AU1021" s="68"/>
      <c r="AV1021" s="68"/>
      <c r="AW1021" s="68"/>
      <c r="AX1021" s="3" t="s">
        <v>1810</v>
      </c>
      <c r="AZ1021" s="3" t="s">
        <v>2523</v>
      </c>
    </row>
    <row r="1022" spans="1:55" ht="12.9" customHeight="1">
      <c r="A1022" s="14"/>
      <c r="B1022" s="79"/>
      <c r="C1022" s="80" t="s">
        <v>215</v>
      </c>
      <c r="D1022" s="1619" t="s">
        <v>1286</v>
      </c>
      <c r="E1022" s="1620"/>
      <c r="F1022" s="1620"/>
      <c r="G1022" s="1620"/>
      <c r="H1022" s="1620"/>
      <c r="I1022" s="1620"/>
      <c r="J1022" s="1620"/>
      <c r="K1022" s="1620"/>
      <c r="L1022" s="1620"/>
      <c r="M1022" s="1620"/>
      <c r="N1022" s="1620"/>
      <c r="O1022" s="1620"/>
      <c r="P1022" s="1620"/>
      <c r="Q1022" s="1620"/>
      <c r="R1022" s="1620"/>
      <c r="S1022" s="1620"/>
      <c r="T1022" s="1620"/>
      <c r="U1022" s="1620"/>
      <c r="V1022" s="1620"/>
      <c r="W1022" s="1620"/>
      <c r="X1022" s="1620"/>
      <c r="Y1022" s="1620"/>
      <c r="Z1022" s="1620"/>
      <c r="AA1022" s="1620"/>
      <c r="AB1022" s="1620"/>
      <c r="AC1022" s="1620"/>
      <c r="AD1022" s="1620"/>
      <c r="AE1022" s="1621"/>
      <c r="AF1022" s="79"/>
      <c r="AG1022" s="1646" t="s">
        <v>667</v>
      </c>
      <c r="AH1022" s="1647"/>
      <c r="AI1022" s="79"/>
      <c r="AJ1022" s="1451">
        <f>ROUND(IF(AG1022="yes",AJ1001*0.02,0),0)</f>
        <v>0</v>
      </c>
      <c r="AK1022" s="1452"/>
      <c r="AL1022" s="1452"/>
      <c r="AM1022" s="1452"/>
      <c r="AN1022" s="1452"/>
      <c r="AO1022" s="1452"/>
      <c r="AP1022" s="1452"/>
      <c r="AQ1022" s="1453"/>
      <c r="AR1022" s="68"/>
      <c r="AS1022" s="68"/>
      <c r="AT1022" s="68"/>
      <c r="AU1022" s="68"/>
      <c r="AV1022" s="68"/>
      <c r="AW1022" s="68"/>
      <c r="AX1022" s="3">
        <v>1</v>
      </c>
      <c r="AY1022" s="200">
        <f>IF((_xlfn.XLOOKUP(AX1022,$C$1074:$C$1112,$A$1074:$A$1112,"",0,1))="Yes",AZ1022,0)</f>
        <v>0.2</v>
      </c>
      <c r="AZ1022" s="1184">
        <v>0.2</v>
      </c>
    </row>
    <row r="1023" spans="1:55" ht="12.9" customHeight="1">
      <c r="A1023" s="14"/>
      <c r="B1023" s="73"/>
      <c r="C1023" s="74"/>
      <c r="D1023" s="1637" t="s">
        <v>1287</v>
      </c>
      <c r="E1023" s="1638"/>
      <c r="F1023" s="1638"/>
      <c r="G1023" s="1638"/>
      <c r="H1023" s="1638"/>
      <c r="I1023" s="1638"/>
      <c r="J1023" s="1638"/>
      <c r="K1023" s="1638"/>
      <c r="L1023" s="1638"/>
      <c r="M1023" s="1638"/>
      <c r="N1023" s="1638"/>
      <c r="O1023" s="1638"/>
      <c r="P1023" s="1638"/>
      <c r="Q1023" s="1638"/>
      <c r="R1023" s="1638"/>
      <c r="S1023" s="1638"/>
      <c r="T1023" s="1638"/>
      <c r="U1023" s="1638"/>
      <c r="V1023" s="1638"/>
      <c r="W1023" s="1638"/>
      <c r="X1023" s="1638"/>
      <c r="Y1023" s="1638"/>
      <c r="Z1023" s="1638"/>
      <c r="AA1023" s="1638"/>
      <c r="AB1023" s="1638"/>
      <c r="AC1023" s="1638"/>
      <c r="AD1023" s="1638"/>
      <c r="AE1023" s="1639"/>
      <c r="AF1023" s="1435" t="str">
        <f>IF(AND(AG1022="yes",T212&lt;&gt;1),"The project may not be eligible for this boost","")</f>
        <v/>
      </c>
      <c r="AG1023" s="1436"/>
      <c r="AH1023" s="1436"/>
      <c r="AI1023" s="1437"/>
      <c r="AJ1023" s="1454"/>
      <c r="AK1023" s="1455"/>
      <c r="AL1023" s="1455"/>
      <c r="AM1023" s="1455"/>
      <c r="AN1023" s="1455"/>
      <c r="AO1023" s="1455"/>
      <c r="AP1023" s="1455"/>
      <c r="AQ1023" s="1456"/>
      <c r="AR1023" s="68"/>
      <c r="AS1023" s="68"/>
      <c r="AT1023" s="68"/>
      <c r="AU1023" s="68"/>
      <c r="AV1023" s="68"/>
      <c r="AW1023" s="68"/>
      <c r="AX1023" s="3">
        <v>2</v>
      </c>
      <c r="AY1023" s="200">
        <f t="shared" ref="AY1023:AY1032" si="55">IF((_xlfn.XLOOKUP(AX1023,$C$1074:$C$1112,$A$1074:$A$1112,"",0,1))="Yes",AZ1023,0)</f>
        <v>0</v>
      </c>
      <c r="AZ1023" s="1184">
        <v>0.15</v>
      </c>
    </row>
    <row r="1024" spans="1:55" ht="12.9" customHeight="1">
      <c r="A1024" s="14"/>
      <c r="B1024" s="75"/>
      <c r="C1024" s="76"/>
      <c r="D1024" s="1622"/>
      <c r="E1024" s="1623"/>
      <c r="F1024" s="1623"/>
      <c r="G1024" s="1623"/>
      <c r="H1024" s="1623"/>
      <c r="I1024" s="1623"/>
      <c r="J1024" s="1623"/>
      <c r="K1024" s="1623"/>
      <c r="L1024" s="1623"/>
      <c r="M1024" s="1623"/>
      <c r="N1024" s="1623"/>
      <c r="O1024" s="1623"/>
      <c r="P1024" s="1623"/>
      <c r="Q1024" s="1623"/>
      <c r="R1024" s="1623"/>
      <c r="S1024" s="1623"/>
      <c r="T1024" s="1623"/>
      <c r="U1024" s="1623"/>
      <c r="V1024" s="1623"/>
      <c r="W1024" s="1623"/>
      <c r="X1024" s="1623"/>
      <c r="Y1024" s="1623"/>
      <c r="Z1024" s="1623"/>
      <c r="AA1024" s="1623"/>
      <c r="AB1024" s="1623"/>
      <c r="AC1024" s="1623"/>
      <c r="AD1024" s="1623"/>
      <c r="AE1024" s="1624"/>
      <c r="AF1024" s="1438"/>
      <c r="AG1024" s="1439"/>
      <c r="AH1024" s="1439"/>
      <c r="AI1024" s="1440"/>
      <c r="AJ1024" s="1457"/>
      <c r="AK1024" s="1458"/>
      <c r="AL1024" s="1458"/>
      <c r="AM1024" s="1458"/>
      <c r="AN1024" s="1458"/>
      <c r="AO1024" s="1458"/>
      <c r="AP1024" s="1458"/>
      <c r="AQ1024" s="1459"/>
      <c r="AR1024" s="68"/>
      <c r="AS1024" s="68"/>
      <c r="AT1024" s="68"/>
      <c r="AU1024" s="68"/>
      <c r="AV1024" s="68"/>
      <c r="AW1024" s="68"/>
      <c r="AX1024" s="3">
        <v>3</v>
      </c>
      <c r="AY1024" s="200">
        <f t="shared" si="55"/>
        <v>0</v>
      </c>
      <c r="AZ1024" s="1184">
        <v>0.05</v>
      </c>
    </row>
    <row r="1025" spans="1:52" ht="12.9" customHeight="1">
      <c r="A1025" s="14"/>
      <c r="B1025" s="79"/>
      <c r="C1025" s="80" t="s">
        <v>218</v>
      </c>
      <c r="D1025" s="1663" t="s">
        <v>2182</v>
      </c>
      <c r="E1025" s="1664"/>
      <c r="F1025" s="1664"/>
      <c r="G1025" s="1664"/>
      <c r="H1025" s="1664"/>
      <c r="I1025" s="1664"/>
      <c r="J1025" s="1664"/>
      <c r="K1025" s="1664"/>
      <c r="L1025" s="1664"/>
      <c r="M1025" s="1664"/>
      <c r="N1025" s="1664"/>
      <c r="O1025" s="1664"/>
      <c r="P1025" s="1664"/>
      <c r="Q1025" s="1664"/>
      <c r="R1025" s="1664"/>
      <c r="S1025" s="1664"/>
      <c r="T1025" s="1664"/>
      <c r="U1025" s="1664"/>
      <c r="V1025" s="1664"/>
      <c r="W1025" s="1664"/>
      <c r="X1025" s="1664"/>
      <c r="Y1025" s="1664"/>
      <c r="Z1025" s="1664"/>
      <c r="AA1025" s="1664"/>
      <c r="AB1025" s="1664"/>
      <c r="AC1025" s="1664"/>
      <c r="AD1025" s="1664"/>
      <c r="AE1025" s="1665"/>
      <c r="AF1025" s="79"/>
      <c r="AG1025" s="1646" t="s">
        <v>543</v>
      </c>
      <c r="AH1025" s="1647"/>
      <c r="AI1025" s="87"/>
      <c r="AJ1025" s="1451">
        <f>IF(AG1025="yes",AJ1001*AY1033,0)</f>
        <v>18582140</v>
      </c>
      <c r="AK1025" s="1452"/>
      <c r="AL1025" s="1452"/>
      <c r="AM1025" s="1452"/>
      <c r="AN1025" s="1452"/>
      <c r="AO1025" s="1452"/>
      <c r="AP1025" s="1452"/>
      <c r="AQ1025" s="1453"/>
      <c r="AR1025" s="68"/>
      <c r="AS1025" s="68"/>
      <c r="AT1025" s="68"/>
      <c r="AU1025" s="68"/>
      <c r="AV1025" s="68"/>
      <c r="AW1025" s="68"/>
      <c r="AX1025" s="3">
        <v>4</v>
      </c>
      <c r="AY1025" s="200">
        <f t="shared" si="55"/>
        <v>0</v>
      </c>
      <c r="AZ1025" s="1184">
        <v>0.02</v>
      </c>
    </row>
    <row r="1026" spans="1:52" ht="12.9" customHeight="1">
      <c r="A1026" s="14"/>
      <c r="B1026" s="73"/>
      <c r="C1026" s="74"/>
      <c r="D1026" s="1637" t="s">
        <v>2586</v>
      </c>
      <c r="E1026" s="1638"/>
      <c r="F1026" s="1638"/>
      <c r="G1026" s="1638"/>
      <c r="H1026" s="1638"/>
      <c r="I1026" s="1638"/>
      <c r="J1026" s="1638"/>
      <c r="K1026" s="1638"/>
      <c r="L1026" s="1638"/>
      <c r="M1026" s="1638"/>
      <c r="N1026" s="1638"/>
      <c r="O1026" s="1638"/>
      <c r="P1026" s="1638"/>
      <c r="Q1026" s="1638"/>
      <c r="R1026" s="1638"/>
      <c r="S1026" s="1638"/>
      <c r="T1026" s="1638"/>
      <c r="U1026" s="1638"/>
      <c r="V1026" s="1638"/>
      <c r="W1026" s="1638"/>
      <c r="X1026" s="1638"/>
      <c r="Y1026" s="1638"/>
      <c r="Z1026" s="1638"/>
      <c r="AA1026" s="1638"/>
      <c r="AB1026" s="1638"/>
      <c r="AC1026" s="1638"/>
      <c r="AD1026" s="1638"/>
      <c r="AE1026" s="1639"/>
      <c r="AF1026" s="1429" t="str">
        <f>IF(AND(AG1025="Yes",AY1033=0),AY1036,"")</f>
        <v/>
      </c>
      <c r="AG1026" s="1430"/>
      <c r="AH1026" s="1430"/>
      <c r="AI1026" s="1431"/>
      <c r="AJ1026" s="1454"/>
      <c r="AK1026" s="1455"/>
      <c r="AL1026" s="1455"/>
      <c r="AM1026" s="1455"/>
      <c r="AN1026" s="1455"/>
      <c r="AO1026" s="1455"/>
      <c r="AP1026" s="1455"/>
      <c r="AQ1026" s="1456"/>
      <c r="AR1026" s="68"/>
      <c r="AS1026" s="68"/>
      <c r="AT1026" s="68"/>
      <c r="AU1026" s="68"/>
      <c r="AV1026" s="68"/>
      <c r="AW1026" s="68"/>
      <c r="AX1026" s="3">
        <v>5</v>
      </c>
      <c r="AY1026" s="200">
        <f t="shared" si="55"/>
        <v>0</v>
      </c>
      <c r="AZ1026" s="1184">
        <v>0.04</v>
      </c>
    </row>
    <row r="1027" spans="1:52" ht="12.9" customHeight="1">
      <c r="A1027" s="14"/>
      <c r="B1027" s="73"/>
      <c r="C1027" s="74"/>
      <c r="D1027" s="1637"/>
      <c r="E1027" s="1638"/>
      <c r="F1027" s="1638"/>
      <c r="G1027" s="1638"/>
      <c r="H1027" s="1638"/>
      <c r="I1027" s="1638"/>
      <c r="J1027" s="1638"/>
      <c r="K1027" s="1638"/>
      <c r="L1027" s="1638"/>
      <c r="M1027" s="1638"/>
      <c r="N1027" s="1638"/>
      <c r="O1027" s="1638"/>
      <c r="P1027" s="1638"/>
      <c r="Q1027" s="1638"/>
      <c r="R1027" s="1638"/>
      <c r="S1027" s="1638"/>
      <c r="T1027" s="1638"/>
      <c r="U1027" s="1638"/>
      <c r="V1027" s="1638"/>
      <c r="W1027" s="1638"/>
      <c r="X1027" s="1638"/>
      <c r="Y1027" s="1638"/>
      <c r="Z1027" s="1638"/>
      <c r="AA1027" s="1638"/>
      <c r="AB1027" s="1638"/>
      <c r="AC1027" s="1638"/>
      <c r="AD1027" s="1638"/>
      <c r="AE1027" s="1639"/>
      <c r="AF1027" s="1429"/>
      <c r="AG1027" s="1430"/>
      <c r="AH1027" s="1430"/>
      <c r="AI1027" s="1431"/>
      <c r="AJ1027" s="1454"/>
      <c r="AK1027" s="1455"/>
      <c r="AL1027" s="1455"/>
      <c r="AM1027" s="1455"/>
      <c r="AN1027" s="1455"/>
      <c r="AO1027" s="1455"/>
      <c r="AP1027" s="1455"/>
      <c r="AQ1027" s="1456"/>
      <c r="AR1027" s="68"/>
      <c r="AS1027" s="68"/>
      <c r="AT1027" s="68"/>
      <c r="AU1027" s="68"/>
      <c r="AV1027" s="68"/>
      <c r="AW1027" s="68"/>
      <c r="AX1027" s="3">
        <v>6</v>
      </c>
      <c r="AY1027" s="200">
        <f t="shared" si="55"/>
        <v>0</v>
      </c>
      <c r="AZ1027" s="1184">
        <v>0.04</v>
      </c>
    </row>
    <row r="1028" spans="1:52" ht="12.9" customHeight="1">
      <c r="A1028" s="14"/>
      <c r="B1028" s="81"/>
      <c r="C1028" s="82"/>
      <c r="D1028" s="1622"/>
      <c r="E1028" s="1623"/>
      <c r="F1028" s="1623"/>
      <c r="G1028" s="1623"/>
      <c r="H1028" s="1623"/>
      <c r="I1028" s="1623"/>
      <c r="J1028" s="1623"/>
      <c r="K1028" s="1623"/>
      <c r="L1028" s="1623"/>
      <c r="M1028" s="1623"/>
      <c r="N1028" s="1623"/>
      <c r="O1028" s="1623"/>
      <c r="P1028" s="1623"/>
      <c r="Q1028" s="1623"/>
      <c r="R1028" s="1623"/>
      <c r="S1028" s="1623"/>
      <c r="T1028" s="1623"/>
      <c r="U1028" s="1623"/>
      <c r="V1028" s="1623"/>
      <c r="W1028" s="1623"/>
      <c r="X1028" s="1623"/>
      <c r="Y1028" s="1623"/>
      <c r="Z1028" s="1623"/>
      <c r="AA1028" s="1623"/>
      <c r="AB1028" s="1623"/>
      <c r="AC1028" s="1623"/>
      <c r="AD1028" s="1623"/>
      <c r="AE1028" s="1624"/>
      <c r="AF1028" s="1432"/>
      <c r="AG1028" s="1433"/>
      <c r="AH1028" s="1433"/>
      <c r="AI1028" s="1434"/>
      <c r="AJ1028" s="1457"/>
      <c r="AK1028" s="1458"/>
      <c r="AL1028" s="1458"/>
      <c r="AM1028" s="1458"/>
      <c r="AN1028" s="1458"/>
      <c r="AO1028" s="1458"/>
      <c r="AP1028" s="1458"/>
      <c r="AQ1028" s="1459"/>
      <c r="AR1028" s="68"/>
      <c r="AS1028" s="68"/>
      <c r="AT1028" s="68"/>
      <c r="AU1028" s="68"/>
      <c r="AV1028" s="68"/>
      <c r="AW1028" s="68"/>
      <c r="AX1028" s="3">
        <v>7</v>
      </c>
      <c r="AY1028" s="200">
        <f t="shared" si="55"/>
        <v>0</v>
      </c>
      <c r="AZ1028" s="1184">
        <v>0.01</v>
      </c>
    </row>
    <row r="1029" spans="1:52" ht="12.9" customHeight="1">
      <c r="A1029" s="14"/>
      <c r="B1029" s="79"/>
      <c r="C1029" s="80" t="s">
        <v>223</v>
      </c>
      <c r="D1029" s="1674" t="s">
        <v>1288</v>
      </c>
      <c r="E1029" s="1675"/>
      <c r="F1029" s="1675"/>
      <c r="G1029" s="1675"/>
      <c r="H1029" s="1675"/>
      <c r="I1029" s="1675"/>
      <c r="J1029" s="1675"/>
      <c r="K1029" s="1675"/>
      <c r="L1029" s="1675"/>
      <c r="M1029" s="1675"/>
      <c r="N1029" s="1675"/>
      <c r="O1029" s="1675"/>
      <c r="P1029" s="1675"/>
      <c r="Q1029" s="1675"/>
      <c r="R1029" s="1675"/>
      <c r="S1029" s="1675"/>
      <c r="T1029" s="1675"/>
      <c r="U1029" s="1675"/>
      <c r="V1029" s="1675"/>
      <c r="W1029" s="1675"/>
      <c r="X1029" s="1675"/>
      <c r="Y1029" s="1675"/>
      <c r="Z1029" s="1675"/>
      <c r="AA1029" s="1675"/>
      <c r="AB1029" s="1675"/>
      <c r="AC1029" s="1675"/>
      <c r="AD1029" s="1675"/>
      <c r="AE1029" s="1676"/>
      <c r="AF1029" s="79"/>
      <c r="AG1029" s="1646" t="s">
        <v>667</v>
      </c>
      <c r="AH1029" s="1647"/>
      <c r="AI1029" s="87"/>
      <c r="AJ1029" s="1451">
        <f>ROUND(IF(AND(AG1029="Yes",J1033&lt;&gt;"N/A",AF1032&lt;&gt;""),MIN(AF1032,(0.15*AJ1001)),0),0)</f>
        <v>0</v>
      </c>
      <c r="AK1029" s="1452"/>
      <c r="AL1029" s="1452"/>
      <c r="AM1029" s="1452"/>
      <c r="AN1029" s="1452"/>
      <c r="AO1029" s="1452"/>
      <c r="AP1029" s="1452"/>
      <c r="AQ1029" s="1453"/>
      <c r="AR1029" s="68"/>
      <c r="AS1029" s="68"/>
      <c r="AT1029" s="68"/>
      <c r="AU1029" s="68"/>
      <c r="AV1029" s="68"/>
      <c r="AW1029" s="68"/>
      <c r="AX1029" s="3">
        <v>8</v>
      </c>
      <c r="AY1029" s="200">
        <f t="shared" si="55"/>
        <v>0</v>
      </c>
      <c r="AZ1029" s="1184">
        <v>0.01</v>
      </c>
    </row>
    <row r="1030" spans="1:52" ht="12.9" customHeight="1">
      <c r="A1030" s="14"/>
      <c r="B1030" s="81"/>
      <c r="C1030" s="84"/>
      <c r="D1030" s="1677"/>
      <c r="E1030" s="1678"/>
      <c r="F1030" s="1678"/>
      <c r="G1030" s="1678"/>
      <c r="H1030" s="1678"/>
      <c r="I1030" s="1678"/>
      <c r="J1030" s="1678"/>
      <c r="K1030" s="1678"/>
      <c r="L1030" s="1678"/>
      <c r="M1030" s="1678"/>
      <c r="N1030" s="1678"/>
      <c r="O1030" s="1678"/>
      <c r="P1030" s="1678"/>
      <c r="Q1030" s="1678"/>
      <c r="R1030" s="1678"/>
      <c r="S1030" s="1678"/>
      <c r="T1030" s="1678"/>
      <c r="U1030" s="1678"/>
      <c r="V1030" s="1678"/>
      <c r="W1030" s="1678"/>
      <c r="X1030" s="1678"/>
      <c r="Y1030" s="1678"/>
      <c r="Z1030" s="1678"/>
      <c r="AA1030" s="1678"/>
      <c r="AB1030" s="1678"/>
      <c r="AC1030" s="1678"/>
      <c r="AD1030" s="1678"/>
      <c r="AE1030" s="1679"/>
      <c r="AF1030" s="1696" t="str">
        <f>IF(AG1029="yes","Please Select Type and Enter Amount:","")</f>
        <v/>
      </c>
      <c r="AG1030" s="1697"/>
      <c r="AH1030" s="1697"/>
      <c r="AI1030" s="1698"/>
      <c r="AJ1030" s="1454"/>
      <c r="AK1030" s="1455"/>
      <c r="AL1030" s="1455"/>
      <c r="AM1030" s="1455"/>
      <c r="AN1030" s="1455"/>
      <c r="AO1030" s="1455"/>
      <c r="AP1030" s="1455"/>
      <c r="AQ1030" s="1456"/>
      <c r="AR1030" s="68"/>
      <c r="AS1030" s="68"/>
      <c r="AT1030" s="68"/>
      <c r="AU1030" s="68"/>
      <c r="AV1030" s="68"/>
      <c r="AW1030" s="68"/>
      <c r="AX1030" s="3">
        <v>9</v>
      </c>
      <c r="AY1030" s="200">
        <f t="shared" si="55"/>
        <v>0</v>
      </c>
      <c r="AZ1030" s="1184">
        <v>0.01</v>
      </c>
    </row>
    <row r="1031" spans="1:52" ht="12.9" customHeight="1">
      <c r="A1031" s="14"/>
      <c r="B1031" s="81"/>
      <c r="C1031" s="84"/>
      <c r="D1031" s="1637" t="s">
        <v>1289</v>
      </c>
      <c r="E1031" s="1638"/>
      <c r="F1031" s="1638"/>
      <c r="G1031" s="1638"/>
      <c r="H1031" s="1638"/>
      <c r="I1031" s="1638"/>
      <c r="J1031" s="1638"/>
      <c r="K1031" s="1638"/>
      <c r="L1031" s="1638"/>
      <c r="M1031" s="1638"/>
      <c r="N1031" s="1638"/>
      <c r="O1031" s="1638"/>
      <c r="P1031" s="1638"/>
      <c r="Q1031" s="1638"/>
      <c r="R1031" s="1638"/>
      <c r="S1031" s="1638"/>
      <c r="T1031" s="1638"/>
      <c r="U1031" s="1638"/>
      <c r="V1031" s="1638"/>
      <c r="W1031" s="1638"/>
      <c r="X1031" s="1638"/>
      <c r="Y1031" s="1638"/>
      <c r="Z1031" s="1638"/>
      <c r="AA1031" s="1638"/>
      <c r="AB1031" s="1638"/>
      <c r="AC1031" s="1638"/>
      <c r="AD1031" s="1638"/>
      <c r="AE1031" s="1639"/>
      <c r="AF1031" s="1696"/>
      <c r="AG1031" s="1697"/>
      <c r="AH1031" s="1697"/>
      <c r="AI1031" s="1698"/>
      <c r="AJ1031" s="1454"/>
      <c r="AK1031" s="1455"/>
      <c r="AL1031" s="1455"/>
      <c r="AM1031" s="1455"/>
      <c r="AN1031" s="1455"/>
      <c r="AO1031" s="1455"/>
      <c r="AP1031" s="1455"/>
      <c r="AQ1031" s="1456"/>
      <c r="AR1031" s="68"/>
      <c r="AS1031" s="68"/>
      <c r="AT1031" s="68"/>
      <c r="AU1031" s="68"/>
      <c r="AV1031" s="68"/>
      <c r="AW1031" s="68"/>
      <c r="AX1031" s="3">
        <v>10</v>
      </c>
      <c r="AY1031" s="200">
        <f t="shared" si="55"/>
        <v>0</v>
      </c>
      <c r="AZ1031" s="1184">
        <v>0.02</v>
      </c>
    </row>
    <row r="1032" spans="1:52" ht="12.9" customHeight="1">
      <c r="A1032" s="14"/>
      <c r="B1032" s="81"/>
      <c r="C1032" s="84"/>
      <c r="D1032" s="1637"/>
      <c r="E1032" s="1638"/>
      <c r="F1032" s="1638"/>
      <c r="G1032" s="1638"/>
      <c r="H1032" s="1638"/>
      <c r="I1032" s="1638"/>
      <c r="J1032" s="1638"/>
      <c r="K1032" s="1638"/>
      <c r="L1032" s="1638"/>
      <c r="M1032" s="1638"/>
      <c r="N1032" s="1638"/>
      <c r="O1032" s="1638"/>
      <c r="P1032" s="1638"/>
      <c r="Q1032" s="1638"/>
      <c r="R1032" s="1638"/>
      <c r="S1032" s="1638"/>
      <c r="T1032" s="1638"/>
      <c r="U1032" s="1638"/>
      <c r="V1032" s="1638"/>
      <c r="W1032" s="1638"/>
      <c r="X1032" s="1638"/>
      <c r="Y1032" s="1638"/>
      <c r="Z1032" s="1638"/>
      <c r="AA1032" s="1638"/>
      <c r="AB1032" s="1638"/>
      <c r="AC1032" s="1638"/>
      <c r="AD1032" s="1638"/>
      <c r="AE1032" s="1639"/>
      <c r="AF1032" s="1472"/>
      <c r="AG1032" s="1472"/>
      <c r="AH1032" s="1472"/>
      <c r="AI1032" s="1472"/>
      <c r="AJ1032" s="1454"/>
      <c r="AK1032" s="1455"/>
      <c r="AL1032" s="1455"/>
      <c r="AM1032" s="1455"/>
      <c r="AN1032" s="1455"/>
      <c r="AO1032" s="1455"/>
      <c r="AP1032" s="1455"/>
      <c r="AQ1032" s="1456"/>
      <c r="AR1032" s="68"/>
      <c r="AS1032" s="68"/>
      <c r="AT1032" s="68"/>
      <c r="AU1032" s="68"/>
      <c r="AV1032" s="68"/>
      <c r="AW1032" s="68"/>
      <c r="AX1032" s="3">
        <v>11</v>
      </c>
      <c r="AY1032" s="200">
        <f t="shared" si="55"/>
        <v>0</v>
      </c>
      <c r="AZ1032" s="1184">
        <v>0.02</v>
      </c>
    </row>
    <row r="1033" spans="1:52" ht="12.9" customHeight="1">
      <c r="A1033" s="14"/>
      <c r="B1033" s="81"/>
      <c r="C1033" s="84"/>
      <c r="D1033" s="522" t="s">
        <v>359</v>
      </c>
      <c r="E1033" s="90"/>
      <c r="F1033" s="90"/>
      <c r="G1033" s="104"/>
      <c r="H1033" s="104"/>
      <c r="I1033" s="49"/>
      <c r="J1033" s="1668" t="s">
        <v>589</v>
      </c>
      <c r="K1033" s="1669"/>
      <c r="L1033" s="1669"/>
      <c r="M1033" s="1669"/>
      <c r="N1033" s="1669"/>
      <c r="O1033" s="1669"/>
      <c r="P1033" s="1669"/>
      <c r="Q1033" s="1669"/>
      <c r="R1033" s="1669"/>
      <c r="S1033" s="1669"/>
      <c r="T1033" s="1669"/>
      <c r="U1033" s="1669"/>
      <c r="V1033" s="1669"/>
      <c r="W1033" s="1669"/>
      <c r="X1033" s="1669"/>
      <c r="Y1033" s="1669"/>
      <c r="Z1033" s="1669"/>
      <c r="AA1033" s="1669"/>
      <c r="AB1033" s="1669"/>
      <c r="AC1033" s="1669"/>
      <c r="AD1033" s="1669"/>
      <c r="AE1033" s="1670"/>
      <c r="AF1033" s="1472"/>
      <c r="AG1033" s="1472"/>
      <c r="AH1033" s="1472"/>
      <c r="AI1033" s="1472"/>
      <c r="AJ1033" s="1457"/>
      <c r="AK1033" s="1458"/>
      <c r="AL1033" s="1458"/>
      <c r="AM1033" s="1458"/>
      <c r="AN1033" s="1458"/>
      <c r="AO1033" s="1458"/>
      <c r="AP1033" s="1458"/>
      <c r="AQ1033" s="1459"/>
      <c r="AR1033" s="68"/>
      <c r="AS1033" s="68"/>
      <c r="AT1033" s="68"/>
      <c r="AU1033" s="68"/>
      <c r="AV1033" s="68"/>
      <c r="AW1033" s="68"/>
      <c r="AX1033" s="1022" t="s">
        <v>2522</v>
      </c>
      <c r="AY1033" s="201">
        <f>IF(SUM(AY1022:AY1032)&lt;=0.2,SUM(AY1022:AY1032),0.2)</f>
        <v>0.2</v>
      </c>
    </row>
    <row r="1034" spans="1:52" ht="12.9" customHeight="1">
      <c r="A1034" s="14"/>
      <c r="B1034" s="79"/>
      <c r="C1034" s="80" t="s">
        <v>229</v>
      </c>
      <c r="D1034" s="1619" t="s">
        <v>1290</v>
      </c>
      <c r="E1034" s="1620"/>
      <c r="F1034" s="1620"/>
      <c r="G1034" s="1620"/>
      <c r="H1034" s="1620"/>
      <c r="I1034" s="1620"/>
      <c r="J1034" s="1620"/>
      <c r="K1034" s="1620"/>
      <c r="L1034" s="1620"/>
      <c r="M1034" s="1620"/>
      <c r="N1034" s="1620"/>
      <c r="O1034" s="1620"/>
      <c r="P1034" s="1620"/>
      <c r="Q1034" s="1620"/>
      <c r="R1034" s="1620"/>
      <c r="S1034" s="1620"/>
      <c r="T1034" s="1620"/>
      <c r="U1034" s="1620"/>
      <c r="V1034" s="1620"/>
      <c r="W1034" s="1620"/>
      <c r="X1034" s="1620"/>
      <c r="Y1034" s="1620"/>
      <c r="Z1034" s="1620"/>
      <c r="AA1034" s="1620"/>
      <c r="AB1034" s="1620"/>
      <c r="AC1034" s="1620"/>
      <c r="AD1034" s="1620"/>
      <c r="AE1034" s="1621"/>
      <c r="AF1034" s="79"/>
      <c r="AG1034" s="1646" t="s">
        <v>543</v>
      </c>
      <c r="AH1034" s="1647"/>
      <c r="AI1034" s="87"/>
      <c r="AJ1034" s="1451">
        <f>ROUND(IF(AG1034="Yes",AF1036,0),0)</f>
        <v>3263654</v>
      </c>
      <c r="AK1034" s="1452"/>
      <c r="AL1034" s="1452"/>
      <c r="AM1034" s="1452"/>
      <c r="AN1034" s="1452"/>
      <c r="AO1034" s="1452"/>
      <c r="AP1034" s="1452"/>
      <c r="AQ1034" s="1453"/>
      <c r="AR1034" s="68"/>
      <c r="AS1034" s="68"/>
      <c r="AT1034" s="68"/>
      <c r="AU1034" s="68"/>
      <c r="AV1034" s="68"/>
      <c r="AW1034" s="68"/>
      <c r="AX1034" s="68"/>
      <c r="AY1034" s="68"/>
    </row>
    <row r="1035" spans="1:52" ht="12.9" customHeight="1">
      <c r="A1035" s="14"/>
      <c r="B1035" s="73"/>
      <c r="C1035" s="74"/>
      <c r="D1035" s="1637" t="s">
        <v>1676</v>
      </c>
      <c r="E1035" s="1638"/>
      <c r="F1035" s="1638"/>
      <c r="G1035" s="1638"/>
      <c r="H1035" s="1638"/>
      <c r="I1035" s="1638"/>
      <c r="J1035" s="1638"/>
      <c r="K1035" s="1638"/>
      <c r="L1035" s="1638"/>
      <c r="M1035" s="1638"/>
      <c r="N1035" s="1638"/>
      <c r="O1035" s="1638"/>
      <c r="P1035" s="1638"/>
      <c r="Q1035" s="1638"/>
      <c r="R1035" s="1638"/>
      <c r="S1035" s="1638"/>
      <c r="T1035" s="1638"/>
      <c r="U1035" s="1638"/>
      <c r="V1035" s="1638"/>
      <c r="W1035" s="1638"/>
      <c r="X1035" s="1638"/>
      <c r="Y1035" s="1638"/>
      <c r="Z1035" s="1638"/>
      <c r="AA1035" s="1638"/>
      <c r="AB1035" s="1638"/>
      <c r="AC1035" s="1638"/>
      <c r="AD1035" s="1638"/>
      <c r="AE1035" s="1639"/>
      <c r="AF1035" s="1680" t="str">
        <f>IF(AG1034="yes","Enter Amount:","")</f>
        <v>Enter Amount:</v>
      </c>
      <c r="AG1035" s="1681"/>
      <c r="AH1035" s="1681"/>
      <c r="AI1035" s="1682"/>
      <c r="AJ1035" s="1454"/>
      <c r="AK1035" s="1455"/>
      <c r="AL1035" s="1455"/>
      <c r="AM1035" s="1455"/>
      <c r="AN1035" s="1455"/>
      <c r="AO1035" s="1455"/>
      <c r="AP1035" s="1455"/>
      <c r="AQ1035" s="1456"/>
      <c r="AR1035" s="68"/>
      <c r="AS1035" s="68"/>
      <c r="AT1035" s="68"/>
      <c r="AU1035" s="68"/>
      <c r="AV1035" s="68"/>
      <c r="AW1035" s="68"/>
      <c r="AX1035" s="68"/>
      <c r="AY1035" s="68"/>
    </row>
    <row r="1036" spans="1:52" ht="12.9" customHeight="1">
      <c r="A1036" s="14"/>
      <c r="B1036" s="73"/>
      <c r="C1036" s="74"/>
      <c r="D1036" s="1637"/>
      <c r="E1036" s="1638"/>
      <c r="F1036" s="1638"/>
      <c r="G1036" s="1638"/>
      <c r="H1036" s="1638"/>
      <c r="I1036" s="1638"/>
      <c r="J1036" s="1638"/>
      <c r="K1036" s="1638"/>
      <c r="L1036" s="1638"/>
      <c r="M1036" s="1638"/>
      <c r="N1036" s="1638"/>
      <c r="O1036" s="1638"/>
      <c r="P1036" s="1638"/>
      <c r="Q1036" s="1638"/>
      <c r="R1036" s="1638"/>
      <c r="S1036" s="1638"/>
      <c r="T1036" s="1638"/>
      <c r="U1036" s="1638"/>
      <c r="V1036" s="1638"/>
      <c r="W1036" s="1638"/>
      <c r="X1036" s="1638"/>
      <c r="Y1036" s="1638"/>
      <c r="Z1036" s="1638"/>
      <c r="AA1036" s="1638"/>
      <c r="AB1036" s="1638"/>
      <c r="AC1036" s="1638"/>
      <c r="AD1036" s="1638"/>
      <c r="AE1036" s="1639"/>
      <c r="AF1036" s="1472">
        <v>3263654</v>
      </c>
      <c r="AG1036" s="1472"/>
      <c r="AH1036" s="1472"/>
      <c r="AI1036" s="1472"/>
      <c r="AJ1036" s="1454"/>
      <c r="AK1036" s="1455"/>
      <c r="AL1036" s="1455"/>
      <c r="AM1036" s="1455"/>
      <c r="AN1036" s="1455"/>
      <c r="AO1036" s="1455"/>
      <c r="AP1036" s="1455"/>
      <c r="AQ1036" s="1456"/>
      <c r="AR1036" s="68"/>
      <c r="AS1036" s="68"/>
      <c r="AT1036" s="68"/>
      <c r="AU1036" s="68"/>
      <c r="AV1036" s="68"/>
      <c r="AW1036" s="68"/>
      <c r="AX1036" s="68"/>
      <c r="AY1036" s="14" t="str">
        <f>"Select items beginning on row #"&amp;TEXT(ROW(A1070),"#")&amp;" to claim this boost"</f>
        <v>Select items beginning on row #1070 to claim this boost</v>
      </c>
    </row>
    <row r="1037" spans="1:52" ht="12.9" customHeight="1">
      <c r="A1037" s="14"/>
      <c r="B1037" s="85"/>
      <c r="C1037" s="84"/>
      <c r="D1037" s="1622"/>
      <c r="E1037" s="1623"/>
      <c r="F1037" s="1623"/>
      <c r="G1037" s="1623"/>
      <c r="H1037" s="1623"/>
      <c r="I1037" s="1623"/>
      <c r="J1037" s="1623"/>
      <c r="K1037" s="1623"/>
      <c r="L1037" s="1623"/>
      <c r="M1037" s="1623"/>
      <c r="N1037" s="1623"/>
      <c r="O1037" s="1623"/>
      <c r="P1037" s="1623"/>
      <c r="Q1037" s="1623"/>
      <c r="R1037" s="1623"/>
      <c r="S1037" s="1623"/>
      <c r="T1037" s="1623"/>
      <c r="U1037" s="1623"/>
      <c r="V1037" s="1623"/>
      <c r="W1037" s="1623"/>
      <c r="X1037" s="1623"/>
      <c r="Y1037" s="1623"/>
      <c r="Z1037" s="1623"/>
      <c r="AA1037" s="1623"/>
      <c r="AB1037" s="1623"/>
      <c r="AC1037" s="1623"/>
      <c r="AD1037" s="1623"/>
      <c r="AE1037" s="1624"/>
      <c r="AF1037" s="1472"/>
      <c r="AG1037" s="1472"/>
      <c r="AH1037" s="1472"/>
      <c r="AI1037" s="1472"/>
      <c r="AJ1037" s="1457"/>
      <c r="AK1037" s="1458"/>
      <c r="AL1037" s="1458"/>
      <c r="AM1037" s="1458"/>
      <c r="AN1037" s="1458"/>
      <c r="AO1037" s="1458"/>
      <c r="AP1037" s="1458"/>
      <c r="AQ1037" s="1459"/>
      <c r="AR1037" s="68"/>
      <c r="AS1037" s="68"/>
      <c r="AT1037" s="68"/>
      <c r="AU1037" s="68"/>
      <c r="AV1037" s="68"/>
      <c r="AW1037" s="68"/>
      <c r="AX1037" s="68"/>
      <c r="AY1037" s="68"/>
    </row>
    <row r="1038" spans="1:52" ht="12.9" customHeight="1">
      <c r="A1038" s="14"/>
      <c r="B1038" s="79"/>
      <c r="C1038" s="80" t="s">
        <v>234</v>
      </c>
      <c r="D1038" s="1663" t="s">
        <v>1291</v>
      </c>
      <c r="E1038" s="1664"/>
      <c r="F1038" s="1664"/>
      <c r="G1038" s="1664"/>
      <c r="H1038" s="1664"/>
      <c r="I1038" s="1664"/>
      <c r="J1038" s="1664"/>
      <c r="K1038" s="1664"/>
      <c r="L1038" s="1664"/>
      <c r="M1038" s="1664"/>
      <c r="N1038" s="1664"/>
      <c r="O1038" s="1664"/>
      <c r="P1038" s="1664"/>
      <c r="Q1038" s="1664"/>
      <c r="R1038" s="1664"/>
      <c r="S1038" s="1664"/>
      <c r="T1038" s="1664"/>
      <c r="U1038" s="1664"/>
      <c r="V1038" s="1664"/>
      <c r="W1038" s="1664"/>
      <c r="X1038" s="1664"/>
      <c r="Y1038" s="1664"/>
      <c r="Z1038" s="1664"/>
      <c r="AA1038" s="1664"/>
      <c r="AB1038" s="1664"/>
      <c r="AC1038" s="1664"/>
      <c r="AD1038" s="1664"/>
      <c r="AE1038" s="1665"/>
      <c r="AF1038" s="79"/>
      <c r="AG1038" s="1646" t="s">
        <v>667</v>
      </c>
      <c r="AH1038" s="1647"/>
      <c r="AI1038" s="87"/>
      <c r="AJ1038" s="1451">
        <f>ROUND(IF(AG1038="yes",(AJ1001*0.1),0),0)</f>
        <v>0</v>
      </c>
      <c r="AK1038" s="1452"/>
      <c r="AL1038" s="1452"/>
      <c r="AM1038" s="1452"/>
      <c r="AN1038" s="1452"/>
      <c r="AO1038" s="1452"/>
      <c r="AP1038" s="1452"/>
      <c r="AQ1038" s="1453"/>
      <c r="AR1038" s="68"/>
      <c r="AS1038" s="68"/>
      <c r="AT1038" s="68"/>
      <c r="AU1038" s="68"/>
      <c r="AV1038" s="68"/>
      <c r="AW1038" s="68"/>
      <c r="AX1038" s="68"/>
      <c r="AY1038" s="68"/>
    </row>
    <row r="1039" spans="1:52" ht="12.9" customHeight="1">
      <c r="A1039" s="14"/>
      <c r="B1039" s="73"/>
      <c r="C1039" s="74"/>
      <c r="D1039" s="1637" t="s">
        <v>1292</v>
      </c>
      <c r="E1039" s="1638"/>
      <c r="F1039" s="1638"/>
      <c r="G1039" s="1638"/>
      <c r="H1039" s="1638"/>
      <c r="I1039" s="1638"/>
      <c r="J1039" s="1638"/>
      <c r="K1039" s="1638"/>
      <c r="L1039" s="1638"/>
      <c r="M1039" s="1638"/>
      <c r="N1039" s="1638"/>
      <c r="O1039" s="1638"/>
      <c r="P1039" s="1638"/>
      <c r="Q1039" s="1638"/>
      <c r="R1039" s="1638"/>
      <c r="S1039" s="1638"/>
      <c r="T1039" s="1638"/>
      <c r="U1039" s="1638"/>
      <c r="V1039" s="1638"/>
      <c r="W1039" s="1638"/>
      <c r="X1039" s="1638"/>
      <c r="Y1039" s="1638"/>
      <c r="Z1039" s="1638"/>
      <c r="AA1039" s="1638"/>
      <c r="AB1039" s="1638"/>
      <c r="AC1039" s="1638"/>
      <c r="AD1039" s="1638"/>
      <c r="AE1039" s="1639"/>
      <c r="AF1039" s="73"/>
      <c r="AG1039" s="14"/>
      <c r="AH1039" s="14"/>
      <c r="AI1039" s="83"/>
      <c r="AJ1039" s="1454"/>
      <c r="AK1039" s="1455"/>
      <c r="AL1039" s="1455"/>
      <c r="AM1039" s="1455"/>
      <c r="AN1039" s="1455"/>
      <c r="AO1039" s="1455"/>
      <c r="AP1039" s="1455"/>
      <c r="AQ1039" s="1456"/>
      <c r="AR1039" s="68"/>
      <c r="AS1039" s="68"/>
      <c r="AT1039" s="68"/>
      <c r="AU1039" s="68"/>
      <c r="AV1039" s="68"/>
      <c r="AW1039" s="68"/>
      <c r="AX1039" s="68"/>
      <c r="AY1039" s="68"/>
    </row>
    <row r="1040" spans="1:52" ht="12.9" customHeight="1">
      <c r="A1040" s="14"/>
      <c r="B1040" s="77"/>
      <c r="C1040" s="74"/>
      <c r="D1040" s="1622"/>
      <c r="E1040" s="1623"/>
      <c r="F1040" s="1623"/>
      <c r="G1040" s="1623"/>
      <c r="H1040" s="1623"/>
      <c r="I1040" s="1623"/>
      <c r="J1040" s="1623"/>
      <c r="K1040" s="1623"/>
      <c r="L1040" s="1623"/>
      <c r="M1040" s="1623"/>
      <c r="N1040" s="1623"/>
      <c r="O1040" s="1623"/>
      <c r="P1040" s="1623"/>
      <c r="Q1040" s="1623"/>
      <c r="R1040" s="1623"/>
      <c r="S1040" s="1623"/>
      <c r="T1040" s="1623"/>
      <c r="U1040" s="1623"/>
      <c r="V1040" s="1623"/>
      <c r="W1040" s="1623"/>
      <c r="X1040" s="1623"/>
      <c r="Y1040" s="1623"/>
      <c r="Z1040" s="1623"/>
      <c r="AA1040" s="1623"/>
      <c r="AB1040" s="1623"/>
      <c r="AC1040" s="1623"/>
      <c r="AD1040" s="1623"/>
      <c r="AE1040" s="1624"/>
      <c r="AF1040" s="73"/>
      <c r="AG1040" s="14"/>
      <c r="AH1040" s="14"/>
      <c r="AI1040" s="83"/>
      <c r="AJ1040" s="1457"/>
      <c r="AK1040" s="1458"/>
      <c r="AL1040" s="1458"/>
      <c r="AM1040" s="1458"/>
      <c r="AN1040" s="1458"/>
      <c r="AO1040" s="1458"/>
      <c r="AP1040" s="1458"/>
      <c r="AQ1040" s="1459"/>
      <c r="AR1040" s="68"/>
      <c r="AS1040" s="68"/>
      <c r="AT1040" s="68"/>
      <c r="AU1040" s="68"/>
      <c r="AV1040" s="68"/>
      <c r="AW1040" s="68"/>
      <c r="AX1040" s="68"/>
      <c r="AY1040" s="68"/>
    </row>
    <row r="1041" spans="1:57" ht="12.9" customHeight="1">
      <c r="A1041" s="14"/>
      <c r="B1041" s="73"/>
      <c r="C1041" s="336" t="s">
        <v>685</v>
      </c>
      <c r="D1041" s="1619" t="s">
        <v>1672</v>
      </c>
      <c r="E1041" s="1620"/>
      <c r="F1041" s="1620"/>
      <c r="G1041" s="1620"/>
      <c r="H1041" s="1620"/>
      <c r="I1041" s="1620"/>
      <c r="J1041" s="1620"/>
      <c r="K1041" s="1620"/>
      <c r="L1041" s="1620"/>
      <c r="M1041" s="1620"/>
      <c r="N1041" s="1620"/>
      <c r="O1041" s="1620"/>
      <c r="P1041" s="1620"/>
      <c r="Q1041" s="1620"/>
      <c r="R1041" s="1620"/>
      <c r="S1041" s="1620"/>
      <c r="T1041" s="1620"/>
      <c r="U1041" s="1620"/>
      <c r="V1041" s="1620"/>
      <c r="W1041" s="1620"/>
      <c r="X1041" s="1620"/>
      <c r="Y1041" s="1620"/>
      <c r="Z1041" s="1620"/>
      <c r="AA1041" s="1620"/>
      <c r="AB1041" s="1620"/>
      <c r="AC1041" s="1620"/>
      <c r="AD1041" s="1620"/>
      <c r="AE1041" s="1621"/>
      <c r="AF1041" s="79"/>
      <c r="AG1041" s="1646" t="s">
        <v>667</v>
      </c>
      <c r="AH1041" s="1647"/>
      <c r="AI1041" s="87"/>
      <c r="AJ1041" s="1451">
        <f>ROUND(IF(AG1041="yes",(AJ1001*0.15),0),0)</f>
        <v>0</v>
      </c>
      <c r="AK1041" s="1452"/>
      <c r="AL1041" s="1452"/>
      <c r="AM1041" s="1452"/>
      <c r="AN1041" s="1452"/>
      <c r="AO1041" s="1452"/>
      <c r="AP1041" s="1452"/>
      <c r="AQ1041" s="1453"/>
      <c r="AR1041" s="68"/>
      <c r="AS1041" s="68"/>
      <c r="AT1041" s="68"/>
      <c r="AU1041" s="68"/>
      <c r="AV1041" s="68"/>
      <c r="AW1041" s="68"/>
      <c r="AX1041" s="68"/>
      <c r="AY1041" s="68"/>
    </row>
    <row r="1042" spans="1:57" ht="12.9" customHeight="1">
      <c r="A1042" s="14"/>
      <c r="B1042" s="73"/>
      <c r="C1042" s="74"/>
      <c r="D1042" s="1658" t="s">
        <v>1673</v>
      </c>
      <c r="E1042" s="1359"/>
      <c r="F1042" s="1359"/>
      <c r="G1042" s="1359"/>
      <c r="H1042" s="1359"/>
      <c r="I1042" s="1359"/>
      <c r="J1042" s="1359"/>
      <c r="K1042" s="1359"/>
      <c r="L1042" s="1359"/>
      <c r="M1042" s="1359"/>
      <c r="N1042" s="1359"/>
      <c r="O1042" s="1359"/>
      <c r="P1042" s="1359"/>
      <c r="Q1042" s="1359"/>
      <c r="R1042" s="1359"/>
      <c r="S1042" s="1359"/>
      <c r="T1042" s="1359"/>
      <c r="U1042" s="1359"/>
      <c r="V1042" s="1359"/>
      <c r="W1042" s="1359"/>
      <c r="X1042" s="1359"/>
      <c r="Y1042" s="1359"/>
      <c r="Z1042" s="1359"/>
      <c r="AA1042" s="1359"/>
      <c r="AB1042" s="1359"/>
      <c r="AC1042" s="1359"/>
      <c r="AD1042" s="1359"/>
      <c r="AE1042" s="1659"/>
      <c r="AF1042" s="906"/>
      <c r="AG1042" s="907"/>
      <c r="AH1042" s="907"/>
      <c r="AI1042" s="908"/>
      <c r="AJ1042" s="1454"/>
      <c r="AK1042" s="1455"/>
      <c r="AL1042" s="1455"/>
      <c r="AM1042" s="1455"/>
      <c r="AN1042" s="1455"/>
      <c r="AO1042" s="1455"/>
      <c r="AP1042" s="1455"/>
      <c r="AQ1042" s="1456"/>
      <c r="AR1042" s="68"/>
      <c r="AS1042" s="68"/>
      <c r="AT1042" s="68"/>
      <c r="AU1042" s="68"/>
      <c r="AV1042" s="68"/>
      <c r="AW1042" s="68"/>
      <c r="AX1042" s="68"/>
      <c r="AY1042" s="68"/>
    </row>
    <row r="1043" spans="1:57" ht="12.9" customHeight="1">
      <c r="A1043" s="14"/>
      <c r="B1043" s="73"/>
      <c r="C1043" s="74"/>
      <c r="D1043" s="1658"/>
      <c r="E1043" s="1359"/>
      <c r="F1043" s="1359"/>
      <c r="G1043" s="1359"/>
      <c r="H1043" s="1359"/>
      <c r="I1043" s="1359"/>
      <c r="J1043" s="1359"/>
      <c r="K1043" s="1359"/>
      <c r="L1043" s="1359"/>
      <c r="M1043" s="1359"/>
      <c r="N1043" s="1359"/>
      <c r="O1043" s="1359"/>
      <c r="P1043" s="1359"/>
      <c r="Q1043" s="1359"/>
      <c r="R1043" s="1359"/>
      <c r="S1043" s="1359"/>
      <c r="T1043" s="1359"/>
      <c r="U1043" s="1359"/>
      <c r="V1043" s="1359"/>
      <c r="W1043" s="1359"/>
      <c r="X1043" s="1359"/>
      <c r="Y1043" s="1359"/>
      <c r="Z1043" s="1359"/>
      <c r="AA1043" s="1359"/>
      <c r="AB1043" s="1359"/>
      <c r="AC1043" s="1359"/>
      <c r="AD1043" s="1359"/>
      <c r="AE1043" s="1659"/>
      <c r="AF1043" s="906"/>
      <c r="AG1043" s="907"/>
      <c r="AH1043" s="907"/>
      <c r="AI1043" s="908"/>
      <c r="AJ1043" s="1454"/>
      <c r="AK1043" s="1455"/>
      <c r="AL1043" s="1455"/>
      <c r="AM1043" s="1455"/>
      <c r="AN1043" s="1455"/>
      <c r="AO1043" s="1455"/>
      <c r="AP1043" s="1455"/>
      <c r="AQ1043" s="1456"/>
      <c r="AR1043" s="68"/>
      <c r="AS1043" s="68"/>
      <c r="AT1043" s="68"/>
      <c r="AU1043" s="68"/>
      <c r="AV1043" s="68"/>
      <c r="AW1043" s="68"/>
      <c r="AX1043" s="68"/>
      <c r="AY1043" s="68"/>
    </row>
    <row r="1044" spans="1:57" ht="12.9" customHeight="1">
      <c r="A1044" s="14"/>
      <c r="B1044" s="73"/>
      <c r="C1044" s="74"/>
      <c r="D1044" s="1660"/>
      <c r="E1044" s="1661"/>
      <c r="F1044" s="1661"/>
      <c r="G1044" s="1661"/>
      <c r="H1044" s="1661"/>
      <c r="I1044" s="1661"/>
      <c r="J1044" s="1661"/>
      <c r="K1044" s="1661"/>
      <c r="L1044" s="1661"/>
      <c r="M1044" s="1661"/>
      <c r="N1044" s="1661"/>
      <c r="O1044" s="1661"/>
      <c r="P1044" s="1661"/>
      <c r="Q1044" s="1661"/>
      <c r="R1044" s="1661"/>
      <c r="S1044" s="1661"/>
      <c r="T1044" s="1661"/>
      <c r="U1044" s="1661"/>
      <c r="V1044" s="1661"/>
      <c r="W1044" s="1661"/>
      <c r="X1044" s="1661"/>
      <c r="Y1044" s="1661"/>
      <c r="Z1044" s="1661"/>
      <c r="AA1044" s="1661"/>
      <c r="AB1044" s="1661"/>
      <c r="AC1044" s="1661"/>
      <c r="AD1044" s="1661"/>
      <c r="AE1044" s="1662"/>
      <c r="AF1044" s="909"/>
      <c r="AG1044" s="910"/>
      <c r="AH1044" s="910"/>
      <c r="AI1044" s="911"/>
      <c r="AJ1044" s="1457"/>
      <c r="AK1044" s="1458"/>
      <c r="AL1044" s="1458"/>
      <c r="AM1044" s="1458"/>
      <c r="AN1044" s="1458"/>
      <c r="AO1044" s="1458"/>
      <c r="AP1044" s="1458"/>
      <c r="AQ1044" s="1459"/>
      <c r="AR1044" s="68"/>
      <c r="AS1044" s="68"/>
      <c r="AT1044" s="68"/>
      <c r="AU1044" s="68"/>
      <c r="AV1044" s="68"/>
      <c r="AW1044" s="68"/>
      <c r="AX1044" s="68"/>
      <c r="AY1044" s="68"/>
    </row>
    <row r="1045" spans="1:57" ht="12.9" customHeight="1">
      <c r="A1045" s="14"/>
      <c r="B1045" s="73"/>
      <c r="C1045" s="336" t="s">
        <v>685</v>
      </c>
      <c r="D1045" s="1663" t="s">
        <v>1674</v>
      </c>
      <c r="E1045" s="1664"/>
      <c r="F1045" s="1664"/>
      <c r="G1045" s="1664"/>
      <c r="H1045" s="1664"/>
      <c r="I1045" s="1664"/>
      <c r="J1045" s="1664"/>
      <c r="K1045" s="1664"/>
      <c r="L1045" s="1664"/>
      <c r="M1045" s="1664"/>
      <c r="N1045" s="1664"/>
      <c r="O1045" s="1664"/>
      <c r="P1045" s="1664"/>
      <c r="Q1045" s="1664"/>
      <c r="R1045" s="1664"/>
      <c r="S1045" s="1664"/>
      <c r="T1045" s="1664"/>
      <c r="U1045" s="1664"/>
      <c r="V1045" s="1664"/>
      <c r="W1045" s="1664"/>
      <c r="X1045" s="1664"/>
      <c r="Y1045" s="1664"/>
      <c r="Z1045" s="1664"/>
      <c r="AA1045" s="1664"/>
      <c r="AB1045" s="1664"/>
      <c r="AC1045" s="1664"/>
      <c r="AD1045" s="1664"/>
      <c r="AE1045" s="1665"/>
      <c r="AF1045" s="73"/>
      <c r="AG1045" s="1666" t="s">
        <v>543</v>
      </c>
      <c r="AH1045" s="1667"/>
      <c r="AI1045" s="83"/>
      <c r="AJ1045" s="1451">
        <f>ROUND(IF(AND(AG1045="yes",AJ1041=0),(AJ1001*0.1),0),0)</f>
        <v>9291070</v>
      </c>
      <c r="AK1045" s="1452"/>
      <c r="AL1045" s="1452"/>
      <c r="AM1045" s="1452"/>
      <c r="AN1045" s="1452"/>
      <c r="AO1045" s="1452"/>
      <c r="AP1045" s="1452"/>
      <c r="AQ1045" s="1453"/>
      <c r="AR1045" s="68"/>
      <c r="AS1045" s="68"/>
      <c r="AT1045" s="68"/>
      <c r="AU1045" s="68"/>
      <c r="AV1045" s="68"/>
      <c r="AW1045" s="68"/>
      <c r="AX1045" s="68"/>
      <c r="AY1045" s="68"/>
    </row>
    <row r="1046" spans="1:57" ht="12.9" customHeight="1">
      <c r="A1046" s="14"/>
      <c r="B1046" s="73"/>
      <c r="C1046" s="74"/>
      <c r="D1046" s="1658" t="s">
        <v>1675</v>
      </c>
      <c r="E1046" s="1359"/>
      <c r="F1046" s="1359"/>
      <c r="G1046" s="1359"/>
      <c r="H1046" s="1359"/>
      <c r="I1046" s="1359"/>
      <c r="J1046" s="1359"/>
      <c r="K1046" s="1359"/>
      <c r="L1046" s="1359"/>
      <c r="M1046" s="1359"/>
      <c r="N1046" s="1359"/>
      <c r="O1046" s="1359"/>
      <c r="P1046" s="1359"/>
      <c r="Q1046" s="1359"/>
      <c r="R1046" s="1359"/>
      <c r="S1046" s="1359"/>
      <c r="T1046" s="1359"/>
      <c r="U1046" s="1359"/>
      <c r="V1046" s="1359"/>
      <c r="W1046" s="1359"/>
      <c r="X1046" s="1359"/>
      <c r="Y1046" s="1359"/>
      <c r="Z1046" s="1359"/>
      <c r="AA1046" s="1359"/>
      <c r="AB1046" s="1359"/>
      <c r="AC1046" s="1359"/>
      <c r="AD1046" s="1359"/>
      <c r="AE1046" s="1659"/>
      <c r="AF1046" s="73"/>
      <c r="AG1046" s="14"/>
      <c r="AH1046" s="14"/>
      <c r="AI1046" s="83"/>
      <c r="AJ1046" s="1454"/>
      <c r="AK1046" s="1455"/>
      <c r="AL1046" s="1455"/>
      <c r="AM1046" s="1455"/>
      <c r="AN1046" s="1455"/>
      <c r="AO1046" s="1455"/>
      <c r="AP1046" s="1455"/>
      <c r="AQ1046" s="1456"/>
      <c r="AR1046" s="68"/>
      <c r="AS1046" s="68"/>
      <c r="AT1046" s="68"/>
      <c r="AU1046" s="68"/>
      <c r="AV1046" s="68"/>
      <c r="AW1046" s="68"/>
      <c r="AX1046" s="68"/>
      <c r="AY1046" s="68"/>
    </row>
    <row r="1047" spans="1:57" ht="12.9" customHeight="1">
      <c r="A1047" s="14"/>
      <c r="B1047" s="73"/>
      <c r="C1047" s="74"/>
      <c r="D1047" s="1658"/>
      <c r="E1047" s="1359"/>
      <c r="F1047" s="1359"/>
      <c r="G1047" s="1359"/>
      <c r="H1047" s="1359"/>
      <c r="I1047" s="1359"/>
      <c r="J1047" s="1359"/>
      <c r="K1047" s="1359"/>
      <c r="L1047" s="1359"/>
      <c r="M1047" s="1359"/>
      <c r="N1047" s="1359"/>
      <c r="O1047" s="1359"/>
      <c r="P1047" s="1359"/>
      <c r="Q1047" s="1359"/>
      <c r="R1047" s="1359"/>
      <c r="S1047" s="1359"/>
      <c r="T1047" s="1359"/>
      <c r="U1047" s="1359"/>
      <c r="V1047" s="1359"/>
      <c r="W1047" s="1359"/>
      <c r="X1047" s="1359"/>
      <c r="Y1047" s="1359"/>
      <c r="Z1047" s="1359"/>
      <c r="AA1047" s="1359"/>
      <c r="AB1047" s="1359"/>
      <c r="AC1047" s="1359"/>
      <c r="AD1047" s="1359"/>
      <c r="AE1047" s="1659"/>
      <c r="AF1047" s="73"/>
      <c r="AG1047" s="14"/>
      <c r="AH1047" s="14"/>
      <c r="AI1047" s="83"/>
      <c r="AJ1047" s="1454"/>
      <c r="AK1047" s="1455"/>
      <c r="AL1047" s="1455"/>
      <c r="AM1047" s="1455"/>
      <c r="AN1047" s="1455"/>
      <c r="AO1047" s="1455"/>
      <c r="AP1047" s="1455"/>
      <c r="AQ1047" s="1456"/>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2.9" customHeight="1">
      <c r="A1048" s="14"/>
      <c r="B1048" s="73"/>
      <c r="C1048" s="74"/>
      <c r="D1048" s="1658"/>
      <c r="E1048" s="1359"/>
      <c r="F1048" s="1359"/>
      <c r="G1048" s="1359"/>
      <c r="H1048" s="1359"/>
      <c r="I1048" s="1359"/>
      <c r="J1048" s="1359"/>
      <c r="K1048" s="1359"/>
      <c r="L1048" s="1359"/>
      <c r="M1048" s="1359"/>
      <c r="N1048" s="1359"/>
      <c r="O1048" s="1359"/>
      <c r="P1048" s="1359"/>
      <c r="Q1048" s="1359"/>
      <c r="R1048" s="1359"/>
      <c r="S1048" s="1359"/>
      <c r="T1048" s="1359"/>
      <c r="U1048" s="1359"/>
      <c r="V1048" s="1359"/>
      <c r="W1048" s="1359"/>
      <c r="X1048" s="1359"/>
      <c r="Y1048" s="1359"/>
      <c r="Z1048" s="1359"/>
      <c r="AA1048" s="1359"/>
      <c r="AB1048" s="1359"/>
      <c r="AC1048" s="1359"/>
      <c r="AD1048" s="1359"/>
      <c r="AE1048" s="1659"/>
      <c r="AF1048" s="73"/>
      <c r="AG1048" s="14"/>
      <c r="AH1048" s="14"/>
      <c r="AI1048" s="83"/>
      <c r="AJ1048" s="1454"/>
      <c r="AK1048" s="1455"/>
      <c r="AL1048" s="1455"/>
      <c r="AM1048" s="1455"/>
      <c r="AN1048" s="1455"/>
      <c r="AO1048" s="1455"/>
      <c r="AP1048" s="1455"/>
      <c r="AQ1048" s="1456"/>
      <c r="AR1048" s="68"/>
      <c r="AS1048" s="68"/>
      <c r="AT1048" s="68"/>
      <c r="AU1048" s="68"/>
      <c r="AV1048" s="68"/>
      <c r="AW1048" s="68"/>
      <c r="AX1048" s="68"/>
      <c r="AY1048" s="68"/>
      <c r="BA1048">
        <f>IFERROR((($CI$761+$CM$761)/$AG$449),0)</f>
        <v>0.23214285714285715</v>
      </c>
      <c r="BB1048" s="3" t="s">
        <v>2415</v>
      </c>
    </row>
    <row r="1049" spans="1:57" ht="12.9" customHeight="1">
      <c r="A1049" s="14"/>
      <c r="B1049" s="73"/>
      <c r="C1049" s="74"/>
      <c r="D1049" s="1660"/>
      <c r="E1049" s="1661"/>
      <c r="F1049" s="1661"/>
      <c r="G1049" s="1661"/>
      <c r="H1049" s="1661"/>
      <c r="I1049" s="1661"/>
      <c r="J1049" s="1661"/>
      <c r="K1049" s="1661"/>
      <c r="L1049" s="1661"/>
      <c r="M1049" s="1661"/>
      <c r="N1049" s="1661"/>
      <c r="O1049" s="1661"/>
      <c r="P1049" s="1661"/>
      <c r="Q1049" s="1661"/>
      <c r="R1049" s="1661"/>
      <c r="S1049" s="1661"/>
      <c r="T1049" s="1661"/>
      <c r="U1049" s="1661"/>
      <c r="V1049" s="1661"/>
      <c r="W1049" s="1661"/>
      <c r="X1049" s="1661"/>
      <c r="Y1049" s="1661"/>
      <c r="Z1049" s="1661"/>
      <c r="AA1049" s="1661"/>
      <c r="AB1049" s="1661"/>
      <c r="AC1049" s="1661"/>
      <c r="AD1049" s="1661"/>
      <c r="AE1049" s="1662"/>
      <c r="AF1049" s="73"/>
      <c r="AG1049" s="14"/>
      <c r="AH1049" s="14"/>
      <c r="AI1049" s="83"/>
      <c r="AJ1049" s="1454"/>
      <c r="AK1049" s="1455"/>
      <c r="AL1049" s="1455"/>
      <c r="AM1049" s="1455"/>
      <c r="AN1049" s="1455"/>
      <c r="AO1049" s="1455"/>
      <c r="AP1049" s="1455"/>
      <c r="AQ1049" s="1456"/>
      <c r="AR1049" s="68"/>
      <c r="AS1049" s="68"/>
      <c r="AT1049" s="68"/>
      <c r="AU1049" s="68"/>
      <c r="AV1049" s="68"/>
      <c r="AW1049" s="68"/>
      <c r="AX1049" s="68"/>
      <c r="AY1049" s="68"/>
      <c r="BA1049" t="b">
        <f>'Points System'!AJ163="Yes"</f>
        <v>0</v>
      </c>
      <c r="BB1049" s="3" t="s">
        <v>2412</v>
      </c>
    </row>
    <row r="1050" spans="1:57" ht="12.9" customHeight="1">
      <c r="A1050" s="14"/>
      <c r="B1050" s="79"/>
      <c r="C1050" s="131" t="s">
        <v>1008</v>
      </c>
      <c r="D1050" s="1619" t="s">
        <v>1293</v>
      </c>
      <c r="E1050" s="1620"/>
      <c r="F1050" s="1620"/>
      <c r="G1050" s="1620"/>
      <c r="H1050" s="1620"/>
      <c r="I1050" s="1620"/>
      <c r="J1050" s="1620"/>
      <c r="K1050" s="1620"/>
      <c r="L1050" s="1620"/>
      <c r="M1050" s="1620"/>
      <c r="N1050" s="1620"/>
      <c r="O1050" s="1620"/>
      <c r="P1050" s="1620"/>
      <c r="Q1050" s="1620"/>
      <c r="R1050" s="1620"/>
      <c r="S1050" s="1620"/>
      <c r="T1050" s="1620"/>
      <c r="U1050" s="1620"/>
      <c r="V1050" s="1620"/>
      <c r="W1050" s="1620"/>
      <c r="X1050" s="1620"/>
      <c r="Y1050" s="1620"/>
      <c r="Z1050" s="1620"/>
      <c r="AA1050" s="1620"/>
      <c r="AB1050" s="1620"/>
      <c r="AC1050" s="1620"/>
      <c r="AD1050" s="1620"/>
      <c r="AE1050" s="1621"/>
      <c r="AF1050" s="79"/>
      <c r="AG1050" s="1646" t="s">
        <v>667</v>
      </c>
      <c r="AH1050" s="1647"/>
      <c r="AI1050" s="87"/>
      <c r="AJ1050" s="1451">
        <f>ROUND(IF(AG1050="yes",(AJ1001*0.1),0),0)</f>
        <v>0</v>
      </c>
      <c r="AK1050" s="1452"/>
      <c r="AL1050" s="1452"/>
      <c r="AM1050" s="1452"/>
      <c r="AN1050" s="1452"/>
      <c r="AO1050" s="1452"/>
      <c r="AP1050" s="1452"/>
      <c r="AQ1050" s="1453"/>
      <c r="AR1050" s="68"/>
      <c r="AS1050" s="68"/>
      <c r="AT1050" s="68"/>
      <c r="AU1050" s="68"/>
      <c r="AV1050" s="68"/>
      <c r="AW1050" s="68"/>
      <c r="AX1050" s="68"/>
      <c r="AY1050" s="68"/>
      <c r="BA1050">
        <f>Q212</f>
        <v>0</v>
      </c>
      <c r="BB1050" s="3" t="s">
        <v>2413</v>
      </c>
    </row>
    <row r="1051" spans="1:57" ht="12.9" customHeight="1">
      <c r="A1051" s="14"/>
      <c r="B1051" s="73"/>
      <c r="C1051" s="74"/>
      <c r="D1051" s="1637" t="s">
        <v>2091</v>
      </c>
      <c r="E1051" s="1638"/>
      <c r="F1051" s="1638"/>
      <c r="G1051" s="1638"/>
      <c r="H1051" s="1638"/>
      <c r="I1051" s="1638"/>
      <c r="J1051" s="1638"/>
      <c r="K1051" s="1638"/>
      <c r="L1051" s="1638"/>
      <c r="M1051" s="1638"/>
      <c r="N1051" s="1638"/>
      <c r="O1051" s="1638"/>
      <c r="P1051" s="1638"/>
      <c r="Q1051" s="1638"/>
      <c r="R1051" s="1638"/>
      <c r="S1051" s="1638"/>
      <c r="T1051" s="1638"/>
      <c r="U1051" s="1638"/>
      <c r="V1051" s="1638"/>
      <c r="W1051" s="1638"/>
      <c r="X1051" s="1638"/>
      <c r="Y1051" s="1638"/>
      <c r="Z1051" s="1638"/>
      <c r="AA1051" s="1638"/>
      <c r="AB1051" s="1638"/>
      <c r="AC1051" s="1638"/>
      <c r="AD1051" s="1638"/>
      <c r="AE1051" s="1639"/>
      <c r="AF1051" s="73"/>
      <c r="AG1051" s="14"/>
      <c r="AH1051" s="14"/>
      <c r="AI1051" s="83"/>
      <c r="AJ1051" s="1454"/>
      <c r="AK1051" s="1455"/>
      <c r="AL1051" s="1455"/>
      <c r="AM1051" s="1455"/>
      <c r="AN1051" s="1455"/>
      <c r="AO1051" s="1455"/>
      <c r="AP1051" s="1455"/>
      <c r="AQ1051" s="1456"/>
      <c r="AR1051" s="68"/>
      <c r="AS1051" s="68"/>
      <c r="AT1051" s="68"/>
      <c r="AU1051" s="68"/>
      <c r="AV1051" s="68"/>
      <c r="AW1051" s="68"/>
      <c r="AX1051" s="68"/>
      <c r="AY1051" s="68"/>
      <c r="BA1051" s="1172">
        <f>T212</f>
        <v>0</v>
      </c>
      <c r="BB1051" s="3" t="s">
        <v>2414</v>
      </c>
    </row>
    <row r="1052" spans="1:57" ht="12.9" customHeight="1">
      <c r="A1052" s="14"/>
      <c r="B1052" s="73"/>
      <c r="C1052" s="74"/>
      <c r="D1052" s="1637"/>
      <c r="E1052" s="1638"/>
      <c r="F1052" s="1638"/>
      <c r="G1052" s="1638"/>
      <c r="H1052" s="1638"/>
      <c r="I1052" s="1638"/>
      <c r="J1052" s="1638"/>
      <c r="K1052" s="1638"/>
      <c r="L1052" s="1638"/>
      <c r="M1052" s="1638"/>
      <c r="N1052" s="1638"/>
      <c r="O1052" s="1638"/>
      <c r="P1052" s="1638"/>
      <c r="Q1052" s="1638"/>
      <c r="R1052" s="1638"/>
      <c r="S1052" s="1638"/>
      <c r="T1052" s="1638"/>
      <c r="U1052" s="1638"/>
      <c r="V1052" s="1638"/>
      <c r="W1052" s="1638"/>
      <c r="X1052" s="1638"/>
      <c r="Y1052" s="1638"/>
      <c r="Z1052" s="1638"/>
      <c r="AA1052" s="1638"/>
      <c r="AB1052" s="1638"/>
      <c r="AC1052" s="1638"/>
      <c r="AD1052" s="1638"/>
      <c r="AE1052" s="1639"/>
      <c r="AF1052" s="73"/>
      <c r="AG1052" s="14"/>
      <c r="AH1052" s="14"/>
      <c r="AI1052" s="83"/>
      <c r="AJ1052" s="1454"/>
      <c r="AK1052" s="1455"/>
      <c r="AL1052" s="1455"/>
      <c r="AM1052" s="1455"/>
      <c r="AN1052" s="1455"/>
      <c r="AO1052" s="1455"/>
      <c r="AP1052" s="1455"/>
      <c r="AQ1052" s="1456"/>
      <c r="AR1052" s="68"/>
      <c r="AS1052" s="68"/>
      <c r="AT1052" s="68"/>
      <c r="AU1052" s="68"/>
      <c r="AV1052" s="68"/>
      <c r="AW1052" s="68"/>
      <c r="AX1052" s="68"/>
      <c r="AY1052" s="68"/>
    </row>
    <row r="1053" spans="1:57" ht="12.9" customHeight="1">
      <c r="A1053" s="14"/>
      <c r="B1053" s="73"/>
      <c r="C1053" s="74"/>
      <c r="D1053" s="1622"/>
      <c r="E1053" s="1623"/>
      <c r="F1053" s="1623"/>
      <c r="G1053" s="1623"/>
      <c r="H1053" s="1623"/>
      <c r="I1053" s="1623"/>
      <c r="J1053" s="1623"/>
      <c r="K1053" s="1623"/>
      <c r="L1053" s="1623"/>
      <c r="M1053" s="1623"/>
      <c r="N1053" s="1623"/>
      <c r="O1053" s="1623"/>
      <c r="P1053" s="1623"/>
      <c r="Q1053" s="1623"/>
      <c r="R1053" s="1623"/>
      <c r="S1053" s="1623"/>
      <c r="T1053" s="1623"/>
      <c r="U1053" s="1623"/>
      <c r="V1053" s="1623"/>
      <c r="W1053" s="1623"/>
      <c r="X1053" s="1623"/>
      <c r="Y1053" s="1623"/>
      <c r="Z1053" s="1623"/>
      <c r="AA1053" s="1623"/>
      <c r="AB1053" s="1623"/>
      <c r="AC1053" s="1623"/>
      <c r="AD1053" s="1623"/>
      <c r="AE1053" s="1624"/>
      <c r="AF1053" s="73"/>
      <c r="AG1053" s="14"/>
      <c r="AH1053" s="14"/>
      <c r="AI1053" s="83"/>
      <c r="AJ1053" s="1457"/>
      <c r="AK1053" s="1458"/>
      <c r="AL1053" s="1458"/>
      <c r="AM1053" s="1458"/>
      <c r="AN1053" s="1458"/>
      <c r="AO1053" s="1458"/>
      <c r="AP1053" s="1458"/>
      <c r="AQ1053" s="1459"/>
      <c r="AR1053" s="68"/>
      <c r="AS1053" s="68"/>
      <c r="AT1053" s="68"/>
      <c r="AU1053" s="68"/>
      <c r="AV1053" s="68"/>
      <c r="AW1053" s="68"/>
      <c r="AX1053" s="68"/>
      <c r="AY1053" s="68"/>
    </row>
    <row r="1054" spans="1:57" ht="12.9" customHeight="1">
      <c r="A1054" s="14"/>
      <c r="B1054" s="79"/>
      <c r="C1054" s="131" t="s">
        <v>1670</v>
      </c>
      <c r="D1054" s="1663" t="s">
        <v>1831</v>
      </c>
      <c r="E1054" s="1664"/>
      <c r="F1054" s="1664"/>
      <c r="G1054" s="1664"/>
      <c r="H1054" s="1664"/>
      <c r="I1054" s="1664"/>
      <c r="J1054" s="1664"/>
      <c r="K1054" s="1664"/>
      <c r="L1054" s="1664"/>
      <c r="M1054" s="1664"/>
      <c r="N1054" s="1664"/>
      <c r="O1054" s="1664"/>
      <c r="P1054" s="1664"/>
      <c r="Q1054" s="1664"/>
      <c r="R1054" s="1664"/>
      <c r="S1054" s="1664"/>
      <c r="T1054" s="1664"/>
      <c r="U1054" s="1664"/>
      <c r="V1054" s="1664"/>
      <c r="W1054" s="1664"/>
      <c r="X1054" s="1664"/>
      <c r="Y1054" s="1664"/>
      <c r="Z1054" s="1664"/>
      <c r="AA1054" s="1664"/>
      <c r="AB1054" s="1664"/>
      <c r="AC1054" s="1664"/>
      <c r="AD1054" s="1664"/>
      <c r="AE1054" s="1665"/>
      <c r="AF1054" s="79"/>
      <c r="AG1054" s="1644" t="str">
        <f>IF(X1057&gt;0,"Yes","No")</f>
        <v>Yes</v>
      </c>
      <c r="AH1054" s="1645"/>
      <c r="AI1054" s="87"/>
      <c r="AJ1054" s="1451">
        <f>IF((X1057=0),0,AY1014*AJ1001)</f>
        <v>10220177</v>
      </c>
      <c r="AK1054" s="1452"/>
      <c r="AL1054" s="1452"/>
      <c r="AM1054" s="1452"/>
      <c r="AN1054" s="1452"/>
      <c r="AO1054" s="1452"/>
      <c r="AP1054" s="1452"/>
      <c r="AQ1054" s="1453"/>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2.9" customHeight="1">
      <c r="A1055" s="14"/>
      <c r="B1055" s="73"/>
      <c r="C1055" s="438"/>
      <c r="D1055" s="1637" t="s">
        <v>1295</v>
      </c>
      <c r="E1055" s="1638"/>
      <c r="F1055" s="1638"/>
      <c r="G1055" s="1638"/>
      <c r="H1055" s="1638"/>
      <c r="I1055" s="1638"/>
      <c r="J1055" s="1638"/>
      <c r="K1055" s="1638"/>
      <c r="L1055" s="1638"/>
      <c r="M1055" s="1638"/>
      <c r="N1055" s="1638"/>
      <c r="O1055" s="1638"/>
      <c r="P1055" s="1638"/>
      <c r="Q1055" s="1638"/>
      <c r="R1055" s="1638"/>
      <c r="S1055" s="1638"/>
      <c r="T1055" s="1638"/>
      <c r="U1055" s="1638"/>
      <c r="V1055" s="1638"/>
      <c r="W1055" s="1638"/>
      <c r="X1055" s="1638"/>
      <c r="Y1055" s="1638"/>
      <c r="Z1055" s="1638"/>
      <c r="AA1055" s="1638"/>
      <c r="AB1055" s="1638"/>
      <c r="AC1055" s="1638"/>
      <c r="AD1055" s="1638"/>
      <c r="AE1055" s="1639"/>
      <c r="AF1055" s="73"/>
      <c r="AG1055" s="439"/>
      <c r="AH1055" s="439"/>
      <c r="AI1055" s="83"/>
      <c r="AJ1055" s="1454"/>
      <c r="AK1055" s="1455"/>
      <c r="AL1055" s="1455"/>
      <c r="AM1055" s="1455"/>
      <c r="AN1055" s="1455"/>
      <c r="AO1055" s="1455"/>
      <c r="AP1055" s="1455"/>
      <c r="AQ1055" s="1456"/>
      <c r="AR1055" s="68"/>
      <c r="AS1055" s="68"/>
      <c r="AT1055" s="68"/>
      <c r="AU1055" s="13"/>
      <c r="AV1055" s="68"/>
      <c r="AW1055" s="68"/>
      <c r="AX1055" s="68"/>
      <c r="AY1055" s="68"/>
      <c r="AZ1055" s="953">
        <f>'Sources and Uses Budget'!S97*BA1055</f>
        <v>10021516.5</v>
      </c>
      <c r="BA1055" s="1170">
        <f>IF(BA1049,20%,15%)</f>
        <v>0.15</v>
      </c>
      <c r="BB1055" s="3" t="s">
        <v>2401</v>
      </c>
      <c r="BC1055" s="3" t="s">
        <v>2402</v>
      </c>
      <c r="BD1055" s="3"/>
    </row>
    <row r="1056" spans="1:57" ht="12.9" customHeight="1">
      <c r="A1056" s="14"/>
      <c r="B1056" s="73"/>
      <c r="C1056" s="438"/>
      <c r="D1056" s="1637"/>
      <c r="E1056" s="1638"/>
      <c r="F1056" s="1638"/>
      <c r="G1056" s="1638"/>
      <c r="H1056" s="1638"/>
      <c r="I1056" s="1638"/>
      <c r="J1056" s="1638"/>
      <c r="K1056" s="1638"/>
      <c r="L1056" s="1638"/>
      <c r="M1056" s="1638"/>
      <c r="N1056" s="1638"/>
      <c r="O1056" s="1638"/>
      <c r="P1056" s="1638"/>
      <c r="Q1056" s="1638"/>
      <c r="R1056" s="1638"/>
      <c r="S1056" s="1638"/>
      <c r="T1056" s="1638"/>
      <c r="U1056" s="1638"/>
      <c r="V1056" s="1638"/>
      <c r="W1056" s="1638"/>
      <c r="X1056" s="1638"/>
      <c r="Y1056" s="1638"/>
      <c r="Z1056" s="1638"/>
      <c r="AA1056" s="1638"/>
      <c r="AB1056" s="1638"/>
      <c r="AC1056" s="1638"/>
      <c r="AD1056" s="1638"/>
      <c r="AE1056" s="1639"/>
      <c r="AF1056" s="73"/>
      <c r="AG1056" s="439"/>
      <c r="AH1056" s="439"/>
      <c r="AI1056" s="83"/>
      <c r="AJ1056" s="1454"/>
      <c r="AK1056" s="1455"/>
      <c r="AL1056" s="1455"/>
      <c r="AM1056" s="1455"/>
      <c r="AN1056" s="1455"/>
      <c r="AO1056" s="1455"/>
      <c r="AP1056" s="1455"/>
      <c r="AQ1056" s="1456"/>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2.9" customHeight="1">
      <c r="A1057" s="14"/>
      <c r="B1057" s="77"/>
      <c r="C1057" s="78"/>
      <c r="D1057" s="132" t="s">
        <v>970</v>
      </c>
      <c r="E1057" s="133"/>
      <c r="F1057" s="133"/>
      <c r="G1057" s="133"/>
      <c r="H1057" s="133"/>
      <c r="I1057" s="1642">
        <f>AY1012</f>
        <v>112</v>
      </c>
      <c r="J1057" s="1643"/>
      <c r="K1057" s="7"/>
      <c r="L1057" s="133"/>
      <c r="M1057" s="133"/>
      <c r="N1057" s="133"/>
      <c r="O1057" s="133"/>
      <c r="P1057" s="133"/>
      <c r="Q1057" s="133"/>
      <c r="R1057" s="133"/>
      <c r="S1057" s="133"/>
      <c r="T1057" s="133"/>
      <c r="U1057" s="133"/>
      <c r="V1057" s="134" t="s">
        <v>971</v>
      </c>
      <c r="W1057" s="48"/>
      <c r="X1057" s="1640">
        <f>CI761</f>
        <v>13</v>
      </c>
      <c r="Y1057" s="1641"/>
      <c r="Z1057" s="48"/>
      <c r="AA1057" s="48"/>
      <c r="AB1057" s="48"/>
      <c r="AC1057" s="48"/>
      <c r="AD1057" s="48"/>
      <c r="AE1057" s="49"/>
      <c r="AF1057" s="915"/>
      <c r="AG1057" s="916"/>
      <c r="AH1057" s="916"/>
      <c r="AI1057" s="917"/>
      <c r="AJ1057" s="1457"/>
      <c r="AK1057" s="1458"/>
      <c r="AL1057" s="1458"/>
      <c r="AM1057" s="1458"/>
      <c r="AN1057" s="1458"/>
      <c r="AO1057" s="1458"/>
      <c r="AP1057" s="1458"/>
      <c r="AQ1057" s="1459"/>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2401</v>
      </c>
      <c r="BC1057" s="3" t="s">
        <v>2404</v>
      </c>
      <c r="BD1057" s="3"/>
    </row>
    <row r="1058" spans="1:56" ht="12.9" customHeight="1">
      <c r="A1058" s="14"/>
      <c r="B1058" s="79"/>
      <c r="C1058" s="131" t="s">
        <v>1671</v>
      </c>
      <c r="D1058" s="1619" t="s">
        <v>2117</v>
      </c>
      <c r="E1058" s="1620"/>
      <c r="F1058" s="1620"/>
      <c r="G1058" s="1620"/>
      <c r="H1058" s="1620"/>
      <c r="I1058" s="1620"/>
      <c r="J1058" s="1620"/>
      <c r="K1058" s="1620"/>
      <c r="L1058" s="1620"/>
      <c r="M1058" s="1620"/>
      <c r="N1058" s="1620"/>
      <c r="O1058" s="1620"/>
      <c r="P1058" s="1620"/>
      <c r="Q1058" s="1620"/>
      <c r="R1058" s="1620"/>
      <c r="S1058" s="1620"/>
      <c r="T1058" s="1620"/>
      <c r="U1058" s="1620"/>
      <c r="V1058" s="1620"/>
      <c r="W1058" s="1620"/>
      <c r="X1058" s="1620"/>
      <c r="Y1058" s="1620"/>
      <c r="Z1058" s="1620"/>
      <c r="AA1058" s="1620"/>
      <c r="AB1058" s="1620"/>
      <c r="AC1058" s="1620"/>
      <c r="AD1058" s="1620"/>
      <c r="AE1058" s="1621"/>
      <c r="AF1058" s="73"/>
      <c r="AG1058" s="1644" t="str">
        <f>IF(X1061&gt;0,"Yes","No")</f>
        <v>Yes</v>
      </c>
      <c r="AH1058" s="1645"/>
      <c r="AI1058" s="83"/>
      <c r="AJ1058" s="1451">
        <f>IF((X1061=0),0,(2*AY1015)*AJ1001)</f>
        <v>20440354</v>
      </c>
      <c r="AK1058" s="1452"/>
      <c r="AL1058" s="1452"/>
      <c r="AM1058" s="1452"/>
      <c r="AN1058" s="1452"/>
      <c r="AO1058" s="1452"/>
      <c r="AP1058" s="1452"/>
      <c r="AQ1058" s="1453"/>
      <c r="AR1058" s="68"/>
      <c r="AS1058" s="68"/>
      <c r="AT1058" s="68"/>
      <c r="AU1058" s="14"/>
      <c r="AV1058" s="68"/>
      <c r="AW1058" s="68"/>
      <c r="AX1058" s="68"/>
      <c r="AY1058" s="68"/>
      <c r="AZ1058" s="953">
        <f>AZ1054*BA1058</f>
        <v>0</v>
      </c>
      <c r="BA1058" s="1170">
        <v>0.15</v>
      </c>
      <c r="BB1058" s="3" t="s">
        <v>2401</v>
      </c>
      <c r="BC1058" s="3" t="s">
        <v>2405</v>
      </c>
      <c r="BD1058" s="3"/>
    </row>
    <row r="1059" spans="1:56" ht="12.9" customHeight="1">
      <c r="A1059" s="14"/>
      <c r="B1059" s="73"/>
      <c r="C1059" s="438"/>
      <c r="D1059" s="1637" t="s">
        <v>1294</v>
      </c>
      <c r="E1059" s="1638"/>
      <c r="F1059" s="1638"/>
      <c r="G1059" s="1638"/>
      <c r="H1059" s="1638"/>
      <c r="I1059" s="1638"/>
      <c r="J1059" s="1638"/>
      <c r="K1059" s="1638"/>
      <c r="L1059" s="1638"/>
      <c r="M1059" s="1638"/>
      <c r="N1059" s="1638"/>
      <c r="O1059" s="1638"/>
      <c r="P1059" s="1638"/>
      <c r="Q1059" s="1638"/>
      <c r="R1059" s="1638"/>
      <c r="S1059" s="1638"/>
      <c r="T1059" s="1638"/>
      <c r="U1059" s="1638"/>
      <c r="V1059" s="1638"/>
      <c r="W1059" s="1638"/>
      <c r="X1059" s="1638"/>
      <c r="Y1059" s="1638"/>
      <c r="Z1059" s="1638"/>
      <c r="AA1059" s="1638"/>
      <c r="AB1059" s="1638"/>
      <c r="AC1059" s="1638"/>
      <c r="AD1059" s="1638"/>
      <c r="AE1059" s="1639"/>
      <c r="AF1059" s="73"/>
      <c r="AG1059" s="439"/>
      <c r="AH1059" s="439"/>
      <c r="AI1059" s="83"/>
      <c r="AJ1059" s="1454"/>
      <c r="AK1059" s="1455"/>
      <c r="AL1059" s="1455"/>
      <c r="AM1059" s="1455"/>
      <c r="AN1059" s="1455"/>
      <c r="AO1059" s="1455"/>
      <c r="AP1059" s="1455"/>
      <c r="AQ1059" s="1456"/>
      <c r="AR1059" s="68"/>
      <c r="AS1059" s="68"/>
      <c r="AT1059" s="68"/>
      <c r="AU1059" s="68"/>
      <c r="AV1059" s="68"/>
      <c r="AW1059" s="68"/>
      <c r="AX1059" s="68"/>
      <c r="AY1059" s="68"/>
      <c r="AZ1059" s="953"/>
      <c r="BA1059" s="3"/>
      <c r="BB1059" s="3"/>
      <c r="BC1059" s="3"/>
      <c r="BD1059" s="3"/>
    </row>
    <row r="1060" spans="1:56" ht="12.9" customHeight="1">
      <c r="A1060" s="14"/>
      <c r="B1060" s="73"/>
      <c r="C1060" s="83"/>
      <c r="D1060" s="1637"/>
      <c r="E1060" s="1638"/>
      <c r="F1060" s="1638"/>
      <c r="G1060" s="1638"/>
      <c r="H1060" s="1638"/>
      <c r="I1060" s="1638"/>
      <c r="J1060" s="1638"/>
      <c r="K1060" s="1638"/>
      <c r="L1060" s="1638"/>
      <c r="M1060" s="1638"/>
      <c r="N1060" s="1638"/>
      <c r="O1060" s="1638"/>
      <c r="P1060" s="1638"/>
      <c r="Q1060" s="1638"/>
      <c r="R1060" s="1638"/>
      <c r="S1060" s="1638"/>
      <c r="T1060" s="1638"/>
      <c r="U1060" s="1638"/>
      <c r="V1060" s="1638"/>
      <c r="W1060" s="1638"/>
      <c r="X1060" s="1638"/>
      <c r="Y1060" s="1638"/>
      <c r="Z1060" s="1638"/>
      <c r="AA1060" s="1638"/>
      <c r="AB1060" s="1638"/>
      <c r="AC1060" s="1638"/>
      <c r="AD1060" s="1638"/>
      <c r="AE1060" s="1639"/>
      <c r="AF1060" s="912"/>
      <c r="AG1060" s="913"/>
      <c r="AH1060" s="913"/>
      <c r="AI1060" s="914"/>
      <c r="AJ1060" s="1454"/>
      <c r="AK1060" s="1455"/>
      <c r="AL1060" s="1455"/>
      <c r="AM1060" s="1455"/>
      <c r="AN1060" s="1455"/>
      <c r="AO1060" s="1455"/>
      <c r="AP1060" s="1455"/>
      <c r="AQ1060" s="1456"/>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2.9" customHeight="1">
      <c r="A1061" s="14"/>
      <c r="B1061" s="77"/>
      <c r="C1061" s="78"/>
      <c r="D1061" s="132" t="s">
        <v>970</v>
      </c>
      <c r="E1061" s="133"/>
      <c r="F1061" s="133"/>
      <c r="G1061" s="133"/>
      <c r="H1061" s="133"/>
      <c r="I1061" s="1642">
        <f>AY1012</f>
        <v>112</v>
      </c>
      <c r="J1061" s="1643"/>
      <c r="K1061" s="14"/>
      <c r="L1061" s="133"/>
      <c r="M1061" s="133"/>
      <c r="N1061" s="133"/>
      <c r="O1061" s="133"/>
      <c r="P1061" s="133"/>
      <c r="Q1061" s="133"/>
      <c r="R1061" s="133"/>
      <c r="S1061" s="133"/>
      <c r="T1061" s="133"/>
      <c r="U1061" s="133"/>
      <c r="V1061" s="134" t="s">
        <v>972</v>
      </c>
      <c r="X1061" s="1640">
        <f>CM761</f>
        <v>13</v>
      </c>
      <c r="Y1061" s="1641"/>
      <c r="AF1061" s="915"/>
      <c r="AG1061" s="916"/>
      <c r="AH1061" s="916"/>
      <c r="AI1061" s="917"/>
      <c r="AJ1061" s="1457"/>
      <c r="AK1061" s="1458"/>
      <c r="AL1061" s="1458"/>
      <c r="AM1061" s="1458"/>
      <c r="AN1061" s="1458"/>
      <c r="AO1061" s="1458"/>
      <c r="AP1061" s="1458"/>
      <c r="AQ1061" s="1459"/>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2.9" customHeight="1">
      <c r="A1062" s="14"/>
      <c r="B1062" s="102"/>
      <c r="C1062" s="103"/>
      <c r="D1062" s="1635" t="s">
        <v>511</v>
      </c>
      <c r="E1062" s="1635"/>
      <c r="F1062" s="1635"/>
      <c r="G1062" s="1635"/>
      <c r="H1062" s="1635"/>
      <c r="I1062" s="1635"/>
      <c r="J1062" s="1635"/>
      <c r="K1062" s="1635"/>
      <c r="L1062" s="1635"/>
      <c r="M1062" s="1635"/>
      <c r="N1062" s="1635"/>
      <c r="O1062" s="1635"/>
      <c r="P1062" s="1635"/>
      <c r="Q1062" s="1635"/>
      <c r="R1062" s="1635"/>
      <c r="S1062" s="1635"/>
      <c r="T1062" s="1635"/>
      <c r="U1062" s="1635"/>
      <c r="V1062" s="1635"/>
      <c r="W1062" s="1635"/>
      <c r="X1062" s="1635"/>
      <c r="Y1062" s="1635"/>
      <c r="Z1062" s="1635"/>
      <c r="AA1062" s="1635"/>
      <c r="AB1062" s="1635"/>
      <c r="AC1062" s="1635"/>
      <c r="AD1062" s="1635"/>
      <c r="AE1062" s="1635"/>
      <c r="AF1062" s="1635"/>
      <c r="AG1062" s="1635"/>
      <c r="AH1062" s="1635"/>
      <c r="AI1062" s="1636"/>
      <c r="AJ1062" s="1655">
        <f>SUM(AJ1001:AQ1061)</f>
        <v>154708095</v>
      </c>
      <c r="AK1062" s="1656"/>
      <c r="AL1062" s="1656"/>
      <c r="AM1062" s="1656"/>
      <c r="AN1062" s="1656"/>
      <c r="AO1062" s="1656"/>
      <c r="AP1062" s="1656"/>
      <c r="AQ1062" s="1657"/>
      <c r="AR1062" s="68"/>
      <c r="AS1062" s="68"/>
      <c r="AT1062" s="68"/>
      <c r="AU1062" s="68"/>
      <c r="AV1062" s="68"/>
      <c r="AW1062" s="68"/>
      <c r="AX1062" s="68"/>
      <c r="AY1062" s="68"/>
      <c r="AZ1062" s="1169">
        <v>6000000</v>
      </c>
      <c r="BA1062" s="3" t="s">
        <v>2408</v>
      </c>
      <c r="BB1062" s="3"/>
      <c r="BC1062" s="3"/>
      <c r="BD1062" s="3"/>
    </row>
    <row r="1063" spans="1:56" ht="12.9"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2.9"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938">
        <f>'Sources and Uses Budget'!S107+'Sources and Uses Budget'!T107</f>
        <v>76831626</v>
      </c>
      <c r="AB1065" s="1938"/>
      <c r="AC1065" s="1938"/>
      <c r="AD1065" s="1938"/>
      <c r="AE1065" s="1938"/>
      <c r="AF1065" s="1938"/>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10021516.5</v>
      </c>
      <c r="BB1065" s="3" t="s">
        <v>2410</v>
      </c>
      <c r="BC1065" s="3"/>
      <c r="BD1065" s="3"/>
    </row>
    <row r="1066" spans="1:56" ht="12.9"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939">
        <f>IFERROR((AA1065-BA1068)/(AJ1062-AJ1054-AJ1058),"")</f>
        <v>0.55873817884888088</v>
      </c>
      <c r="AB1066" s="1940"/>
      <c r="AC1066" s="1940"/>
      <c r="AD1066" s="1940"/>
      <c r="AE1066" s="1940"/>
      <c r="AF1066" s="1941"/>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 customHeight="1">
      <c r="A1067" s="14"/>
      <c r="B1067" s="68"/>
      <c r="C1067" s="68"/>
      <c r="D1067" s="68"/>
      <c r="E1067" s="68"/>
      <c r="F1067" s="68"/>
      <c r="G1067" s="1942"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942"/>
      <c r="I1067" s="1942"/>
      <c r="J1067" s="1942"/>
      <c r="K1067" s="1942"/>
      <c r="L1067" s="1942"/>
      <c r="M1067" s="1942"/>
      <c r="N1067" s="1942"/>
      <c r="O1067" s="1942"/>
      <c r="P1067" s="1942"/>
      <c r="Q1067" s="1942"/>
      <c r="R1067" s="1942"/>
      <c r="S1067" s="1942"/>
      <c r="T1067" s="1942"/>
      <c r="U1067" s="1942"/>
      <c r="V1067" s="1942"/>
      <c r="W1067" s="1942"/>
      <c r="X1067" s="1942"/>
      <c r="Y1067" s="1942"/>
      <c r="Z1067" s="1942"/>
      <c r="AA1067" s="1942"/>
      <c r="AB1067" s="1942"/>
      <c r="AC1067" s="1942"/>
      <c r="AD1067" s="1942"/>
      <c r="AE1067" s="1942"/>
      <c r="AF1067" s="1942"/>
      <c r="AG1067" s="1942"/>
      <c r="AH1067" s="1942"/>
      <c r="AI1067" s="1942"/>
      <c r="AJ1067" s="1942"/>
      <c r="AK1067" s="1942"/>
      <c r="AL1067" s="1942"/>
      <c r="AM1067" s="1942"/>
      <c r="AN1067" s="1942"/>
      <c r="AO1067" s="68"/>
      <c r="AP1067" s="68"/>
      <c r="AQ1067" s="68"/>
      <c r="AR1067" s="68"/>
      <c r="AS1067" s="68"/>
      <c r="AT1067" s="68"/>
      <c r="AU1067" s="68"/>
      <c r="AV1067" s="14"/>
      <c r="AW1067" s="14"/>
      <c r="AX1067" s="14"/>
      <c r="AY1067" s="14"/>
      <c r="BA1067" s="1173">
        <f>'Sources and Uses Budget'!$S$104+'Sources and Uses Budget'!$T$104</f>
        <v>10021516</v>
      </c>
      <c r="BB1067" s="3" t="s">
        <v>2416</v>
      </c>
    </row>
    <row r="1068" spans="1:56" ht="12.9" customHeight="1">
      <c r="A1068" s="14"/>
      <c r="B1068" s="14"/>
      <c r="C1068" s="208"/>
      <c r="D1068" s="849"/>
      <c r="E1068" s="849"/>
      <c r="F1068" s="849"/>
      <c r="G1068" s="1942"/>
      <c r="H1068" s="1942"/>
      <c r="I1068" s="1942"/>
      <c r="J1068" s="1942"/>
      <c r="K1068" s="1942"/>
      <c r="L1068" s="1942"/>
      <c r="M1068" s="1942"/>
      <c r="N1068" s="1942"/>
      <c r="O1068" s="1942"/>
      <c r="P1068" s="1942"/>
      <c r="Q1068" s="1942"/>
      <c r="R1068" s="1942"/>
      <c r="S1068" s="1942"/>
      <c r="T1068" s="1942"/>
      <c r="U1068" s="1942"/>
      <c r="V1068" s="1942"/>
      <c r="W1068" s="1942"/>
      <c r="X1068" s="1942"/>
      <c r="Y1068" s="1942"/>
      <c r="Z1068" s="1942"/>
      <c r="AA1068" s="1942"/>
      <c r="AB1068" s="1942"/>
      <c r="AC1068" s="1942"/>
      <c r="AD1068" s="1942"/>
      <c r="AE1068" s="1942"/>
      <c r="AF1068" s="1942"/>
      <c r="AG1068" s="1942"/>
      <c r="AH1068" s="1942"/>
      <c r="AI1068" s="1942"/>
      <c r="AJ1068" s="1942"/>
      <c r="AK1068" s="1942"/>
      <c r="AL1068" s="1942"/>
      <c r="AM1068" s="1942"/>
      <c r="AN1068" s="1942"/>
      <c r="AO1068" s="68"/>
      <c r="AP1068" s="68"/>
      <c r="AQ1068" s="68"/>
      <c r="AR1068" s="68"/>
      <c r="AS1068" s="68"/>
      <c r="AT1068" s="68"/>
      <c r="AU1068" s="68"/>
      <c r="AV1068" s="14"/>
      <c r="AW1068" s="14"/>
      <c r="AX1068" s="14"/>
      <c r="AY1068" s="14"/>
      <c r="BA1068" s="1174">
        <f>MAX($BA$1067-$BA$1064,0)</f>
        <v>7521516</v>
      </c>
      <c r="BB1068" s="3" t="s">
        <v>2417</v>
      </c>
    </row>
    <row r="1069" spans="1:56" ht="12.9" customHeight="1">
      <c r="A1069" s="88"/>
      <c r="B1069" s="1160"/>
      <c r="C1069" s="1160"/>
      <c r="D1069" s="1160"/>
      <c r="E1069" s="1160"/>
      <c r="F1069" s="1160"/>
      <c r="G1069" s="1942"/>
      <c r="H1069" s="1942"/>
      <c r="I1069" s="1942"/>
      <c r="J1069" s="1942"/>
      <c r="K1069" s="1942"/>
      <c r="L1069" s="1942"/>
      <c r="M1069" s="1942"/>
      <c r="N1069" s="1942"/>
      <c r="O1069" s="1942"/>
      <c r="P1069" s="1942"/>
      <c r="Q1069" s="1942"/>
      <c r="R1069" s="1942"/>
      <c r="S1069" s="1942"/>
      <c r="T1069" s="1942"/>
      <c r="U1069" s="1942"/>
      <c r="V1069" s="1942"/>
      <c r="W1069" s="1942"/>
      <c r="X1069" s="1942"/>
      <c r="Y1069" s="1942"/>
      <c r="Z1069" s="1942"/>
      <c r="AA1069" s="1942"/>
      <c r="AB1069" s="1942"/>
      <c r="AC1069" s="1942"/>
      <c r="AD1069" s="1942"/>
      <c r="AE1069" s="1942"/>
      <c r="AF1069" s="1942"/>
      <c r="AG1069" s="1942"/>
      <c r="AH1069" s="1942"/>
      <c r="AI1069" s="1942"/>
      <c r="AJ1069" s="1942"/>
      <c r="AK1069" s="1942"/>
      <c r="AL1069" s="1942"/>
      <c r="AM1069" s="1942"/>
      <c r="AN1069" s="1942"/>
      <c r="AO1069" s="1160"/>
      <c r="AP1069" s="1160"/>
      <c r="AQ1069" s="68"/>
      <c r="AR1069" s="68"/>
      <c r="AS1069" s="68"/>
      <c r="AT1069" s="68"/>
      <c r="AU1069" s="68"/>
      <c r="AV1069" s="68"/>
      <c r="AW1069" s="68"/>
      <c r="AX1069" s="68"/>
      <c r="AY1069" s="68"/>
    </row>
    <row r="1070" spans="1:56" ht="12.9" customHeight="1">
      <c r="A1070" s="1428" t="s">
        <v>792</v>
      </c>
      <c r="B1070" s="1428"/>
      <c r="C1070" s="1428"/>
      <c r="D1070" s="1428"/>
      <c r="E1070" s="1428"/>
      <c r="F1070" s="1428"/>
      <c r="G1070" s="1428"/>
      <c r="H1070" s="1428"/>
      <c r="I1070" s="1428"/>
      <c r="J1070" s="1428"/>
      <c r="K1070" s="1428"/>
      <c r="L1070" s="1428"/>
      <c r="M1070" s="1428"/>
      <c r="N1070" s="1428"/>
      <c r="O1070" s="1428"/>
      <c r="P1070" s="1428"/>
      <c r="Q1070" s="1428"/>
      <c r="R1070" s="1428"/>
      <c r="S1070" s="1428"/>
      <c r="T1070" s="1428"/>
      <c r="U1070" s="1428"/>
      <c r="V1070" s="1428"/>
      <c r="W1070" s="1428"/>
      <c r="X1070" s="1428"/>
      <c r="Y1070" s="1428"/>
      <c r="Z1070" s="1428"/>
      <c r="AA1070" s="1428"/>
      <c r="AB1070" s="1428"/>
      <c r="AC1070" s="1428"/>
      <c r="AD1070" s="1428"/>
      <c r="AE1070" s="1428"/>
      <c r="AF1070" s="1428"/>
      <c r="AG1070" s="1428"/>
      <c r="AH1070" s="1428"/>
      <c r="AI1070" s="1428"/>
      <c r="AJ1070" s="1428"/>
      <c r="AK1070" s="1428"/>
      <c r="AL1070" s="1428"/>
      <c r="AM1070" s="1428"/>
      <c r="AN1070" s="1428"/>
      <c r="AO1070" s="1428"/>
      <c r="AP1070" s="1428"/>
      <c r="AQ1070" s="1428"/>
      <c r="AR1070" s="13"/>
      <c r="AS1070" s="13"/>
      <c r="AT1070" s="13"/>
      <c r="AV1070" s="68"/>
      <c r="AW1070" s="68"/>
      <c r="AX1070" s="68"/>
      <c r="AY1070" s="68"/>
    </row>
    <row r="1071" spans="1:56" ht="12.9"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 customHeight="1">
      <c r="A1072" s="57" t="s">
        <v>793</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 customHeight="1">
      <c r="A1073" s="198" t="s">
        <v>794</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 customHeight="1">
      <c r="A1074" s="1424" t="s">
        <v>543</v>
      </c>
      <c r="B1074" s="1424"/>
      <c r="C1074" s="1425">
        <v>1</v>
      </c>
      <c r="D1074" s="1425"/>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 customHeight="1">
      <c r="A1075" s="198"/>
      <c r="B1075" s="67"/>
      <c r="C1075" s="1425"/>
      <c r="D1075" s="1425"/>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 customHeight="1">
      <c r="A1076" s="1424" t="s">
        <v>589</v>
      </c>
      <c r="B1076" s="1424"/>
      <c r="C1076" s="1425">
        <v>2</v>
      </c>
      <c r="D1076" s="1425"/>
      <c r="E1076" s="1427" t="s">
        <v>2184</v>
      </c>
      <c r="F1076" s="1427"/>
      <c r="G1076" s="1427"/>
      <c r="H1076" s="1427"/>
      <c r="I1076" s="1427"/>
      <c r="J1076" s="1427"/>
      <c r="K1076" s="1427"/>
      <c r="L1076" s="1427"/>
      <c r="M1076" s="1427"/>
      <c r="N1076" s="1427"/>
      <c r="O1076" s="1427"/>
      <c r="P1076" s="1427"/>
      <c r="Q1076" s="1427"/>
      <c r="R1076" s="1427"/>
      <c r="S1076" s="1427"/>
      <c r="T1076" s="1427"/>
      <c r="U1076" s="1427"/>
      <c r="V1076" s="1427"/>
      <c r="W1076" s="1427"/>
      <c r="X1076" s="1427"/>
      <c r="Y1076" s="1427"/>
      <c r="Z1076" s="1427"/>
      <c r="AA1076" s="1427"/>
      <c r="AB1076" s="1427"/>
      <c r="AC1076" s="1427"/>
      <c r="AD1076" s="1427"/>
      <c r="AE1076" s="1427"/>
      <c r="AF1076" s="1427"/>
      <c r="AG1076" s="1427"/>
      <c r="AH1076" s="1427"/>
      <c r="AI1076" s="1427"/>
      <c r="AJ1076" s="1427"/>
      <c r="AK1076" s="1427"/>
      <c r="AL1076" s="1427"/>
      <c r="AM1076" s="1427"/>
      <c r="AN1076" s="1427"/>
      <c r="AO1076" s="1427"/>
      <c r="AP1076" s="1427"/>
      <c r="AQ1076" s="1427"/>
      <c r="AR1076" s="1427"/>
      <c r="AS1076" s="14"/>
      <c r="AT1076" s="14"/>
      <c r="AV1076" s="68"/>
      <c r="AW1076" s="68"/>
      <c r="AX1076" s="68"/>
      <c r="AY1076" s="68"/>
    </row>
    <row r="1077" spans="1:51" ht="12.9" customHeight="1">
      <c r="A1077" s="198"/>
      <c r="B1077" s="67"/>
      <c r="C1077" s="1425"/>
      <c r="D1077" s="1425"/>
      <c r="E1077" s="1427"/>
      <c r="F1077" s="1427"/>
      <c r="G1077" s="1427"/>
      <c r="H1077" s="1427"/>
      <c r="I1077" s="1427"/>
      <c r="J1077" s="1427"/>
      <c r="K1077" s="1427"/>
      <c r="L1077" s="1427"/>
      <c r="M1077" s="1427"/>
      <c r="N1077" s="1427"/>
      <c r="O1077" s="1427"/>
      <c r="P1077" s="1427"/>
      <c r="Q1077" s="1427"/>
      <c r="R1077" s="1427"/>
      <c r="S1077" s="1427"/>
      <c r="T1077" s="1427"/>
      <c r="U1077" s="1427"/>
      <c r="V1077" s="1427"/>
      <c r="W1077" s="1427"/>
      <c r="X1077" s="1427"/>
      <c r="Y1077" s="1427"/>
      <c r="Z1077" s="1427"/>
      <c r="AA1077" s="1427"/>
      <c r="AB1077" s="1427"/>
      <c r="AC1077" s="1427"/>
      <c r="AD1077" s="1427"/>
      <c r="AE1077" s="1427"/>
      <c r="AF1077" s="1427"/>
      <c r="AG1077" s="1427"/>
      <c r="AH1077" s="1427"/>
      <c r="AI1077" s="1427"/>
      <c r="AJ1077" s="1427"/>
      <c r="AK1077" s="1427"/>
      <c r="AL1077" s="1427"/>
      <c r="AM1077" s="1427"/>
      <c r="AN1077" s="1427"/>
      <c r="AO1077" s="1427"/>
      <c r="AP1077" s="1427"/>
      <c r="AQ1077" s="1427"/>
      <c r="AR1077" s="1427"/>
      <c r="AS1077" s="14"/>
      <c r="AT1077" s="14"/>
      <c r="AV1077" s="68"/>
      <c r="AW1077" s="68"/>
      <c r="AX1077" s="68"/>
      <c r="AY1077" s="68"/>
    </row>
    <row r="1078" spans="1:51" ht="12.9" customHeight="1">
      <c r="A1078" s="198"/>
      <c r="B1078" s="67"/>
      <c r="C1078" s="1425"/>
      <c r="D1078" s="1425"/>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 customHeight="1">
      <c r="A1079" s="1424" t="s">
        <v>589</v>
      </c>
      <c r="B1079" s="1424"/>
      <c r="C1079" s="1426">
        <v>3</v>
      </c>
      <c r="D1079" s="1426"/>
      <c r="E1079" s="1391" t="s">
        <v>1078</v>
      </c>
      <c r="F1079" s="1391"/>
      <c r="G1079" s="1391"/>
      <c r="H1079" s="1391"/>
      <c r="I1079" s="1391"/>
      <c r="J1079" s="1391"/>
      <c r="K1079" s="1391"/>
      <c r="L1079" s="1391"/>
      <c r="M1079" s="1391"/>
      <c r="N1079" s="1391"/>
      <c r="O1079" s="1391"/>
      <c r="P1079" s="1391"/>
      <c r="Q1079" s="1391"/>
      <c r="R1079" s="1391"/>
      <c r="S1079" s="1391"/>
      <c r="T1079" s="1391"/>
      <c r="U1079" s="1391"/>
      <c r="V1079" s="1391"/>
      <c r="W1079" s="1391"/>
      <c r="X1079" s="1391"/>
      <c r="Y1079" s="1391"/>
      <c r="Z1079" s="1391"/>
      <c r="AA1079" s="1391"/>
      <c r="AB1079" s="1391"/>
      <c r="AC1079" s="1391"/>
      <c r="AD1079" s="1391"/>
      <c r="AE1079" s="1391"/>
      <c r="AF1079" s="1391"/>
      <c r="AG1079" s="1391"/>
      <c r="AH1079" s="1391"/>
      <c r="AI1079" s="1391"/>
      <c r="AJ1079" s="1391"/>
      <c r="AK1079" s="1391"/>
      <c r="AL1079" s="1391"/>
      <c r="AM1079" s="1391"/>
      <c r="AN1079" s="1391"/>
      <c r="AO1079" s="1391"/>
      <c r="AP1079" s="1391"/>
      <c r="AQ1079" s="1391"/>
      <c r="AR1079" s="1391"/>
      <c r="AS1079" s="14"/>
      <c r="AT1079" s="68"/>
      <c r="AV1079" s="68"/>
      <c r="AW1079" s="68"/>
      <c r="AX1079" s="68"/>
      <c r="AY1079" s="68"/>
    </row>
    <row r="1080" spans="1:51" ht="12.9" customHeight="1">
      <c r="A1080" s="1"/>
      <c r="B1080" s="1"/>
      <c r="C1080" s="1426"/>
      <c r="D1080" s="1426"/>
      <c r="E1080" s="1391"/>
      <c r="F1080" s="1391"/>
      <c r="G1080" s="1391"/>
      <c r="H1080" s="1391"/>
      <c r="I1080" s="1391"/>
      <c r="J1080" s="1391"/>
      <c r="K1080" s="1391"/>
      <c r="L1080" s="1391"/>
      <c r="M1080" s="1391"/>
      <c r="N1080" s="1391"/>
      <c r="O1080" s="1391"/>
      <c r="P1080" s="1391"/>
      <c r="Q1080" s="1391"/>
      <c r="R1080" s="1391"/>
      <c r="S1080" s="1391"/>
      <c r="T1080" s="1391"/>
      <c r="U1080" s="1391"/>
      <c r="V1080" s="1391"/>
      <c r="W1080" s="1391"/>
      <c r="X1080" s="1391"/>
      <c r="Y1080" s="1391"/>
      <c r="Z1080" s="1391"/>
      <c r="AA1080" s="1391"/>
      <c r="AB1080" s="1391"/>
      <c r="AC1080" s="1391"/>
      <c r="AD1080" s="1391"/>
      <c r="AE1080" s="1391"/>
      <c r="AF1080" s="1391"/>
      <c r="AG1080" s="1391"/>
      <c r="AH1080" s="1391"/>
      <c r="AI1080" s="1391"/>
      <c r="AJ1080" s="1391"/>
      <c r="AK1080" s="1391"/>
      <c r="AL1080" s="1391"/>
      <c r="AM1080" s="1391"/>
      <c r="AN1080" s="1391"/>
      <c r="AO1080" s="1391"/>
      <c r="AP1080" s="1391"/>
      <c r="AQ1080" s="1391"/>
      <c r="AR1080" s="1391"/>
      <c r="AS1080" s="14"/>
      <c r="AT1080" s="68"/>
      <c r="AV1080" s="68"/>
      <c r="AW1080" s="68"/>
      <c r="AX1080" s="68"/>
      <c r="AY1080" s="68"/>
    </row>
    <row r="1081" spans="1:51" ht="12.9" customHeight="1">
      <c r="A1081" s="1"/>
      <c r="B1081" s="1"/>
      <c r="C1081" s="1426"/>
      <c r="D1081" s="1426"/>
      <c r="E1081" s="1391"/>
      <c r="F1081" s="1391"/>
      <c r="G1081" s="1391"/>
      <c r="H1081" s="1391"/>
      <c r="I1081" s="1391"/>
      <c r="J1081" s="1391"/>
      <c r="K1081" s="1391"/>
      <c r="L1081" s="1391"/>
      <c r="M1081" s="1391"/>
      <c r="N1081" s="1391"/>
      <c r="O1081" s="1391"/>
      <c r="P1081" s="1391"/>
      <c r="Q1081" s="1391"/>
      <c r="R1081" s="1391"/>
      <c r="S1081" s="1391"/>
      <c r="T1081" s="1391"/>
      <c r="U1081" s="1391"/>
      <c r="V1081" s="1391"/>
      <c r="W1081" s="1391"/>
      <c r="X1081" s="1391"/>
      <c r="Y1081" s="1391"/>
      <c r="Z1081" s="1391"/>
      <c r="AA1081" s="1391"/>
      <c r="AB1081" s="1391"/>
      <c r="AC1081" s="1391"/>
      <c r="AD1081" s="1391"/>
      <c r="AE1081" s="1391"/>
      <c r="AF1081" s="1391"/>
      <c r="AG1081" s="1391"/>
      <c r="AH1081" s="1391"/>
      <c r="AI1081" s="1391"/>
      <c r="AJ1081" s="1391"/>
      <c r="AK1081" s="1391"/>
      <c r="AL1081" s="1391"/>
      <c r="AM1081" s="1391"/>
      <c r="AN1081" s="1391"/>
      <c r="AO1081" s="1391"/>
      <c r="AP1081" s="1391"/>
      <c r="AQ1081" s="1391"/>
      <c r="AR1081" s="1391"/>
      <c r="AS1081" s="14"/>
      <c r="AT1081" s="68"/>
      <c r="AV1081" s="68"/>
      <c r="AW1081" s="68"/>
      <c r="AX1081" s="68"/>
      <c r="AY1081" s="68"/>
    </row>
    <row r="1082" spans="1:51" ht="12.9" customHeight="1">
      <c r="A1082" s="1"/>
      <c r="B1082" s="1"/>
      <c r="C1082" s="1426"/>
      <c r="D1082" s="1426"/>
      <c r="E1082" s="1391"/>
      <c r="F1082" s="1391"/>
      <c r="G1082" s="1391"/>
      <c r="H1082" s="1391"/>
      <c r="I1082" s="1391"/>
      <c r="J1082" s="1391"/>
      <c r="K1082" s="1391"/>
      <c r="L1082" s="1391"/>
      <c r="M1082" s="1391"/>
      <c r="N1082" s="1391"/>
      <c r="O1082" s="1391"/>
      <c r="P1082" s="1391"/>
      <c r="Q1082" s="1391"/>
      <c r="R1082" s="1391"/>
      <c r="S1082" s="1391"/>
      <c r="T1082" s="1391"/>
      <c r="U1082" s="1391"/>
      <c r="V1082" s="1391"/>
      <c r="W1082" s="1391"/>
      <c r="X1082" s="1391"/>
      <c r="Y1082" s="1391"/>
      <c r="Z1082" s="1391"/>
      <c r="AA1082" s="1391"/>
      <c r="AB1082" s="1391"/>
      <c r="AC1082" s="1391"/>
      <c r="AD1082" s="1391"/>
      <c r="AE1082" s="1391"/>
      <c r="AF1082" s="1391"/>
      <c r="AG1082" s="1391"/>
      <c r="AH1082" s="1391"/>
      <c r="AI1082" s="1391"/>
      <c r="AJ1082" s="1391"/>
      <c r="AK1082" s="1391"/>
      <c r="AL1082" s="1391"/>
      <c r="AM1082" s="1391"/>
      <c r="AN1082" s="1391"/>
      <c r="AO1082" s="1391"/>
      <c r="AP1082" s="1391"/>
      <c r="AQ1082" s="1391"/>
      <c r="AR1082" s="1391"/>
      <c r="AS1082" s="14"/>
      <c r="AT1082" s="68"/>
      <c r="AV1082" s="68"/>
      <c r="AW1082" s="68"/>
      <c r="AX1082" s="68"/>
      <c r="AY1082" s="68"/>
    </row>
    <row r="1083" spans="1:51" ht="12.9" customHeight="1">
      <c r="A1083" s="2"/>
      <c r="B1083" s="25"/>
      <c r="C1083" s="1426"/>
      <c r="D1083" s="1426"/>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 customHeight="1">
      <c r="A1084" s="1424" t="s">
        <v>589</v>
      </c>
      <c r="B1084" s="1424"/>
      <c r="C1084" s="1426">
        <v>4</v>
      </c>
      <c r="D1084" s="1426"/>
      <c r="E1084" s="1391" t="s">
        <v>1077</v>
      </c>
      <c r="F1084" s="1391"/>
      <c r="G1084" s="1391"/>
      <c r="H1084" s="1391"/>
      <c r="I1084" s="1391"/>
      <c r="J1084" s="1391"/>
      <c r="K1084" s="1391"/>
      <c r="L1084" s="1391"/>
      <c r="M1084" s="1391"/>
      <c r="N1084" s="1391"/>
      <c r="O1084" s="1391"/>
      <c r="P1084" s="1391"/>
      <c r="Q1084" s="1391"/>
      <c r="R1084" s="1391"/>
      <c r="S1084" s="1391"/>
      <c r="T1084" s="1391"/>
      <c r="U1084" s="1391"/>
      <c r="V1084" s="1391"/>
      <c r="W1084" s="1391"/>
      <c r="X1084" s="1391"/>
      <c r="Y1084" s="1391"/>
      <c r="Z1084" s="1391"/>
      <c r="AA1084" s="1391"/>
      <c r="AB1084" s="1391"/>
      <c r="AC1084" s="1391"/>
      <c r="AD1084" s="1391"/>
      <c r="AE1084" s="1391"/>
      <c r="AF1084" s="1391"/>
      <c r="AG1084" s="1391"/>
      <c r="AH1084" s="1391"/>
      <c r="AI1084" s="1391"/>
      <c r="AJ1084" s="1391"/>
      <c r="AK1084" s="1391"/>
      <c r="AL1084" s="1391"/>
      <c r="AM1084" s="1391"/>
      <c r="AN1084" s="1391"/>
      <c r="AO1084" s="1391"/>
      <c r="AP1084" s="1391"/>
      <c r="AQ1084" s="1391"/>
      <c r="AR1084" s="1391"/>
      <c r="AS1084" s="14"/>
      <c r="AT1084" s="68"/>
    </row>
    <row r="1085" spans="1:51" ht="12.9" customHeight="1">
      <c r="A1085" s="1"/>
      <c r="B1085" s="1"/>
      <c r="C1085" s="1426"/>
      <c r="D1085" s="1426"/>
      <c r="E1085" s="1391"/>
      <c r="F1085" s="1391"/>
      <c r="G1085" s="1391"/>
      <c r="H1085" s="1391"/>
      <c r="I1085" s="1391"/>
      <c r="J1085" s="1391"/>
      <c r="K1085" s="1391"/>
      <c r="L1085" s="1391"/>
      <c r="M1085" s="1391"/>
      <c r="N1085" s="1391"/>
      <c r="O1085" s="1391"/>
      <c r="P1085" s="1391"/>
      <c r="Q1085" s="1391"/>
      <c r="R1085" s="1391"/>
      <c r="S1085" s="1391"/>
      <c r="T1085" s="1391"/>
      <c r="U1085" s="1391"/>
      <c r="V1085" s="1391"/>
      <c r="W1085" s="1391"/>
      <c r="X1085" s="1391"/>
      <c r="Y1085" s="1391"/>
      <c r="Z1085" s="1391"/>
      <c r="AA1085" s="1391"/>
      <c r="AB1085" s="1391"/>
      <c r="AC1085" s="1391"/>
      <c r="AD1085" s="1391"/>
      <c r="AE1085" s="1391"/>
      <c r="AF1085" s="1391"/>
      <c r="AG1085" s="1391"/>
      <c r="AH1085" s="1391"/>
      <c r="AI1085" s="1391"/>
      <c r="AJ1085" s="1391"/>
      <c r="AK1085" s="1391"/>
      <c r="AL1085" s="1391"/>
      <c r="AM1085" s="1391"/>
      <c r="AN1085" s="1391"/>
      <c r="AO1085" s="1391"/>
      <c r="AP1085" s="1391"/>
      <c r="AQ1085" s="1391"/>
      <c r="AR1085" s="1391"/>
      <c r="AS1085" s="14"/>
      <c r="AT1085" s="68"/>
    </row>
    <row r="1086" spans="1:51" ht="12.9" customHeight="1">
      <c r="A1086" s="1"/>
      <c r="B1086" s="1"/>
      <c r="C1086" s="1426"/>
      <c r="D1086" s="1426"/>
      <c r="E1086" s="1391"/>
      <c r="F1086" s="1391"/>
      <c r="G1086" s="1391"/>
      <c r="H1086" s="1391"/>
      <c r="I1086" s="1391"/>
      <c r="J1086" s="1391"/>
      <c r="K1086" s="1391"/>
      <c r="L1086" s="1391"/>
      <c r="M1086" s="1391"/>
      <c r="N1086" s="1391"/>
      <c r="O1086" s="1391"/>
      <c r="P1086" s="1391"/>
      <c r="Q1086" s="1391"/>
      <c r="R1086" s="1391"/>
      <c r="S1086" s="1391"/>
      <c r="T1086" s="1391"/>
      <c r="U1086" s="1391"/>
      <c r="V1086" s="1391"/>
      <c r="W1086" s="1391"/>
      <c r="X1086" s="1391"/>
      <c r="Y1086" s="1391"/>
      <c r="Z1086" s="1391"/>
      <c r="AA1086" s="1391"/>
      <c r="AB1086" s="1391"/>
      <c r="AC1086" s="1391"/>
      <c r="AD1086" s="1391"/>
      <c r="AE1086" s="1391"/>
      <c r="AF1086" s="1391"/>
      <c r="AG1086" s="1391"/>
      <c r="AH1086" s="1391"/>
      <c r="AI1086" s="1391"/>
      <c r="AJ1086" s="1391"/>
      <c r="AK1086" s="1391"/>
      <c r="AL1086" s="1391"/>
      <c r="AM1086" s="1391"/>
      <c r="AN1086" s="1391"/>
      <c r="AO1086" s="1391"/>
      <c r="AP1086" s="1391"/>
      <c r="AQ1086" s="1391"/>
      <c r="AR1086" s="1391"/>
      <c r="AS1086" s="14"/>
      <c r="AT1086" s="68"/>
    </row>
    <row r="1087" spans="1:51" ht="12.9" customHeight="1">
      <c r="A1087" s="1"/>
      <c r="B1087" s="1"/>
      <c r="C1087" s="1426"/>
      <c r="D1087" s="1426"/>
      <c r="E1087" s="1391"/>
      <c r="F1087" s="1391"/>
      <c r="G1087" s="1391"/>
      <c r="H1087" s="1391"/>
      <c r="I1087" s="1391"/>
      <c r="J1087" s="1391"/>
      <c r="K1087" s="1391"/>
      <c r="L1087" s="1391"/>
      <c r="M1087" s="1391"/>
      <c r="N1087" s="1391"/>
      <c r="O1087" s="1391"/>
      <c r="P1087" s="1391"/>
      <c r="Q1087" s="1391"/>
      <c r="R1087" s="1391"/>
      <c r="S1087" s="1391"/>
      <c r="T1087" s="1391"/>
      <c r="U1087" s="1391"/>
      <c r="V1087" s="1391"/>
      <c r="W1087" s="1391"/>
      <c r="X1087" s="1391"/>
      <c r="Y1087" s="1391"/>
      <c r="Z1087" s="1391"/>
      <c r="AA1087" s="1391"/>
      <c r="AB1087" s="1391"/>
      <c r="AC1087" s="1391"/>
      <c r="AD1087" s="1391"/>
      <c r="AE1087" s="1391"/>
      <c r="AF1087" s="1391"/>
      <c r="AG1087" s="1391"/>
      <c r="AH1087" s="1391"/>
      <c r="AI1087" s="1391"/>
      <c r="AJ1087" s="1391"/>
      <c r="AK1087" s="1391"/>
      <c r="AL1087" s="1391"/>
      <c r="AM1087" s="1391"/>
      <c r="AN1087" s="1391"/>
      <c r="AO1087" s="1391"/>
      <c r="AP1087" s="1391"/>
      <c r="AQ1087" s="1391"/>
      <c r="AR1087" s="1391"/>
      <c r="AS1087" s="14"/>
      <c r="AT1087" s="68"/>
    </row>
    <row r="1088" spans="1:51" ht="12.9" customHeight="1">
      <c r="A1088" s="1"/>
      <c r="B1088" s="1"/>
      <c r="C1088" s="1426"/>
      <c r="D1088" s="1426"/>
      <c r="E1088" s="1391"/>
      <c r="F1088" s="1391"/>
      <c r="G1088" s="1391"/>
      <c r="H1088" s="1391"/>
      <c r="I1088" s="1391"/>
      <c r="J1088" s="1391"/>
      <c r="K1088" s="1391"/>
      <c r="L1088" s="1391"/>
      <c r="M1088" s="1391"/>
      <c r="N1088" s="1391"/>
      <c r="O1088" s="1391"/>
      <c r="P1088" s="1391"/>
      <c r="Q1088" s="1391"/>
      <c r="R1088" s="1391"/>
      <c r="S1088" s="1391"/>
      <c r="T1088" s="1391"/>
      <c r="U1088" s="1391"/>
      <c r="V1088" s="1391"/>
      <c r="W1088" s="1391"/>
      <c r="X1088" s="1391"/>
      <c r="Y1088" s="1391"/>
      <c r="Z1088" s="1391"/>
      <c r="AA1088" s="1391"/>
      <c r="AB1088" s="1391"/>
      <c r="AC1088" s="1391"/>
      <c r="AD1088" s="1391"/>
      <c r="AE1088" s="1391"/>
      <c r="AF1088" s="1391"/>
      <c r="AG1088" s="1391"/>
      <c r="AH1088" s="1391"/>
      <c r="AI1088" s="1391"/>
      <c r="AJ1088" s="1391"/>
      <c r="AK1088" s="1391"/>
      <c r="AL1088" s="1391"/>
      <c r="AM1088" s="1391"/>
      <c r="AN1088" s="1391"/>
      <c r="AO1088" s="1391"/>
      <c r="AP1088" s="1391"/>
      <c r="AQ1088" s="1391"/>
      <c r="AR1088" s="1391"/>
      <c r="AS1088" s="14"/>
      <c r="AT1088" s="68"/>
    </row>
    <row r="1089" spans="1:45" ht="12.9" customHeight="1">
      <c r="A1089" s="1"/>
      <c r="B1089" s="1"/>
      <c r="C1089" s="1426"/>
      <c r="D1089" s="1426"/>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 customHeight="1">
      <c r="A1090" s="1424" t="s">
        <v>589</v>
      </c>
      <c r="B1090" s="1424"/>
      <c r="C1090" s="1426">
        <v>5</v>
      </c>
      <c r="D1090" s="1426"/>
      <c r="E1090" s="1391" t="s">
        <v>2187</v>
      </c>
      <c r="F1090" s="1391"/>
      <c r="G1090" s="1391"/>
      <c r="H1090" s="1391"/>
      <c r="I1090" s="1391"/>
      <c r="J1090" s="1391"/>
      <c r="K1090" s="1391"/>
      <c r="L1090" s="1391"/>
      <c r="M1090" s="1391"/>
      <c r="N1090" s="1391"/>
      <c r="O1090" s="1391"/>
      <c r="P1090" s="1391"/>
      <c r="Q1090" s="1391"/>
      <c r="R1090" s="1391"/>
      <c r="S1090" s="1391"/>
      <c r="T1090" s="1391"/>
      <c r="U1090" s="1391"/>
      <c r="V1090" s="1391"/>
      <c r="W1090" s="1391"/>
      <c r="X1090" s="1391"/>
      <c r="Y1090" s="1391"/>
      <c r="Z1090" s="1391"/>
      <c r="AA1090" s="1391"/>
      <c r="AB1090" s="1391"/>
      <c r="AC1090" s="1391"/>
      <c r="AD1090" s="1391"/>
      <c r="AE1090" s="1391"/>
      <c r="AF1090" s="1391"/>
      <c r="AG1090" s="1391"/>
      <c r="AH1090" s="1391"/>
      <c r="AI1090" s="1391"/>
      <c r="AJ1090" s="1391"/>
      <c r="AK1090" s="1391"/>
      <c r="AL1090" s="1391"/>
      <c r="AM1090" s="1391"/>
      <c r="AN1090" s="1391"/>
      <c r="AO1090" s="1391"/>
      <c r="AP1090" s="1391"/>
      <c r="AQ1090" s="1391"/>
      <c r="AR1090" s="1391"/>
      <c r="AS1090" s="14"/>
    </row>
    <row r="1091" spans="1:45" ht="12.9" customHeight="1">
      <c r="A1091" s="4"/>
      <c r="B1091" s="4"/>
      <c r="C1091" s="1426"/>
      <c r="D1091" s="1426"/>
      <c r="E1091" s="1391"/>
      <c r="F1091" s="1391"/>
      <c r="G1091" s="1391"/>
      <c r="H1091" s="1391"/>
      <c r="I1091" s="1391"/>
      <c r="J1091" s="1391"/>
      <c r="K1091" s="1391"/>
      <c r="L1091" s="1391"/>
      <c r="M1091" s="1391"/>
      <c r="N1091" s="1391"/>
      <c r="O1091" s="1391"/>
      <c r="P1091" s="1391"/>
      <c r="Q1091" s="1391"/>
      <c r="R1091" s="1391"/>
      <c r="S1091" s="1391"/>
      <c r="T1091" s="1391"/>
      <c r="U1091" s="1391"/>
      <c r="V1091" s="1391"/>
      <c r="W1091" s="1391"/>
      <c r="X1091" s="1391"/>
      <c r="Y1091" s="1391"/>
      <c r="Z1091" s="1391"/>
      <c r="AA1091" s="1391"/>
      <c r="AB1091" s="1391"/>
      <c r="AC1091" s="1391"/>
      <c r="AD1091" s="1391"/>
      <c r="AE1091" s="1391"/>
      <c r="AF1091" s="1391"/>
      <c r="AG1091" s="1391"/>
      <c r="AH1091" s="1391"/>
      <c r="AI1091" s="1391"/>
      <c r="AJ1091" s="1391"/>
      <c r="AK1091" s="1391"/>
      <c r="AL1091" s="1391"/>
      <c r="AM1091" s="1391"/>
      <c r="AN1091" s="1391"/>
      <c r="AO1091" s="1391"/>
      <c r="AP1091" s="1391"/>
      <c r="AQ1091" s="1391"/>
      <c r="AR1091" s="1391"/>
      <c r="AS1091" s="14"/>
    </row>
    <row r="1092" spans="1:45" ht="12.9" customHeight="1">
      <c r="A1092" s="4"/>
      <c r="B1092" s="4"/>
      <c r="C1092" s="1426"/>
      <c r="D1092" s="1426"/>
      <c r="E1092" s="1391"/>
      <c r="F1092" s="1391"/>
      <c r="G1092" s="1391"/>
      <c r="H1092" s="1391"/>
      <c r="I1092" s="1391"/>
      <c r="J1092" s="1391"/>
      <c r="K1092" s="1391"/>
      <c r="L1092" s="1391"/>
      <c r="M1092" s="1391"/>
      <c r="N1092" s="1391"/>
      <c r="O1092" s="1391"/>
      <c r="P1092" s="1391"/>
      <c r="Q1092" s="1391"/>
      <c r="R1092" s="1391"/>
      <c r="S1092" s="1391"/>
      <c r="T1092" s="1391"/>
      <c r="U1092" s="1391"/>
      <c r="V1092" s="1391"/>
      <c r="W1092" s="1391"/>
      <c r="X1092" s="1391"/>
      <c r="Y1092" s="1391"/>
      <c r="Z1092" s="1391"/>
      <c r="AA1092" s="1391"/>
      <c r="AB1092" s="1391"/>
      <c r="AC1092" s="1391"/>
      <c r="AD1092" s="1391"/>
      <c r="AE1092" s="1391"/>
      <c r="AF1092" s="1391"/>
      <c r="AG1092" s="1391"/>
      <c r="AH1092" s="1391"/>
      <c r="AI1092" s="1391"/>
      <c r="AJ1092" s="1391"/>
      <c r="AK1092" s="1391"/>
      <c r="AL1092" s="1391"/>
      <c r="AM1092" s="1391"/>
      <c r="AN1092" s="1391"/>
      <c r="AO1092" s="1391"/>
      <c r="AP1092" s="1391"/>
      <c r="AQ1092" s="1391"/>
      <c r="AR1092" s="1391"/>
      <c r="AS1092" s="14"/>
    </row>
    <row r="1093" spans="1:45" ht="12.9" customHeight="1">
      <c r="A1093" s="35"/>
      <c r="B1093" s="25"/>
      <c r="C1093" s="1426"/>
      <c r="D1093" s="1426"/>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 customHeight="1">
      <c r="A1094" s="1424" t="s">
        <v>589</v>
      </c>
      <c r="B1094" s="1424"/>
      <c r="C1094" s="1426">
        <v>6</v>
      </c>
      <c r="D1094" s="1426"/>
      <c r="E1094" s="1391" t="s">
        <v>2188</v>
      </c>
      <c r="F1094" s="1391"/>
      <c r="G1094" s="1391"/>
      <c r="H1094" s="1391"/>
      <c r="I1094" s="1391"/>
      <c r="J1094" s="1391"/>
      <c r="K1094" s="1391"/>
      <c r="L1094" s="1391"/>
      <c r="M1094" s="1391"/>
      <c r="N1094" s="1391"/>
      <c r="O1094" s="1391"/>
      <c r="P1094" s="1391"/>
      <c r="Q1094" s="1391"/>
      <c r="R1094" s="1391"/>
      <c r="S1094" s="1391"/>
      <c r="T1094" s="1391"/>
      <c r="U1094" s="1391"/>
      <c r="V1094" s="1391"/>
      <c r="W1094" s="1391"/>
      <c r="X1094" s="1391"/>
      <c r="Y1094" s="1391"/>
      <c r="Z1094" s="1391"/>
      <c r="AA1094" s="1391"/>
      <c r="AB1094" s="1391"/>
      <c r="AC1094" s="1391"/>
      <c r="AD1094" s="1391"/>
      <c r="AE1094" s="1391"/>
      <c r="AF1094" s="1391"/>
      <c r="AG1094" s="1391"/>
      <c r="AH1094" s="1391"/>
      <c r="AI1094" s="1391"/>
      <c r="AJ1094" s="1391"/>
      <c r="AK1094" s="1391"/>
      <c r="AL1094" s="1391"/>
      <c r="AM1094" s="1391"/>
      <c r="AN1094" s="1391"/>
      <c r="AO1094" s="1391"/>
      <c r="AP1094" s="1391"/>
      <c r="AQ1094" s="1391"/>
      <c r="AR1094" s="1391"/>
      <c r="AS1094" s="14"/>
    </row>
    <row r="1095" spans="1:45" ht="12.9" customHeight="1">
      <c r="A1095" s="1"/>
      <c r="B1095" s="1"/>
      <c r="C1095" s="1"/>
      <c r="D1095" s="1"/>
      <c r="E1095" s="1391"/>
      <c r="F1095" s="1391"/>
      <c r="G1095" s="1391"/>
      <c r="H1095" s="1391"/>
      <c r="I1095" s="1391"/>
      <c r="J1095" s="1391"/>
      <c r="K1095" s="1391"/>
      <c r="L1095" s="1391"/>
      <c r="M1095" s="1391"/>
      <c r="N1095" s="1391"/>
      <c r="O1095" s="1391"/>
      <c r="P1095" s="1391"/>
      <c r="Q1095" s="1391"/>
      <c r="R1095" s="1391"/>
      <c r="S1095" s="1391"/>
      <c r="T1095" s="1391"/>
      <c r="U1095" s="1391"/>
      <c r="V1095" s="1391"/>
      <c r="W1095" s="1391"/>
      <c r="X1095" s="1391"/>
      <c r="Y1095" s="1391"/>
      <c r="Z1095" s="1391"/>
      <c r="AA1095" s="1391"/>
      <c r="AB1095" s="1391"/>
      <c r="AC1095" s="1391"/>
      <c r="AD1095" s="1391"/>
      <c r="AE1095" s="1391"/>
      <c r="AF1095" s="1391"/>
      <c r="AG1095" s="1391"/>
      <c r="AH1095" s="1391"/>
      <c r="AI1095" s="1391"/>
      <c r="AJ1095" s="1391"/>
      <c r="AK1095" s="1391"/>
      <c r="AL1095" s="1391"/>
      <c r="AM1095" s="1391"/>
      <c r="AN1095" s="1391"/>
      <c r="AO1095" s="1391"/>
      <c r="AP1095" s="1391"/>
      <c r="AQ1095" s="1391"/>
      <c r="AR1095" s="1391"/>
      <c r="AS1095" s="14"/>
    </row>
    <row r="1096" spans="1:45" ht="12.9" customHeight="1">
      <c r="A1096" s="1"/>
      <c r="B1096" s="1"/>
      <c r="C1096" s="1426"/>
      <c r="D1096" s="1426"/>
      <c r="E1096" s="1391"/>
      <c r="F1096" s="1391"/>
      <c r="G1096" s="1391"/>
      <c r="H1096" s="1391"/>
      <c r="I1096" s="1391"/>
      <c r="J1096" s="1391"/>
      <c r="K1096" s="1391"/>
      <c r="L1096" s="1391"/>
      <c r="M1096" s="1391"/>
      <c r="N1096" s="1391"/>
      <c r="O1096" s="1391"/>
      <c r="P1096" s="1391"/>
      <c r="Q1096" s="1391"/>
      <c r="R1096" s="1391"/>
      <c r="S1096" s="1391"/>
      <c r="T1096" s="1391"/>
      <c r="U1096" s="1391"/>
      <c r="V1096" s="1391"/>
      <c r="W1096" s="1391"/>
      <c r="X1096" s="1391"/>
      <c r="Y1096" s="1391"/>
      <c r="Z1096" s="1391"/>
      <c r="AA1096" s="1391"/>
      <c r="AB1096" s="1391"/>
      <c r="AC1096" s="1391"/>
      <c r="AD1096" s="1391"/>
      <c r="AE1096" s="1391"/>
      <c r="AF1096" s="1391"/>
      <c r="AG1096" s="1391"/>
      <c r="AH1096" s="1391"/>
      <c r="AI1096" s="1391"/>
      <c r="AJ1096" s="1391"/>
      <c r="AK1096" s="1391"/>
      <c r="AL1096" s="1391"/>
      <c r="AM1096" s="1391"/>
      <c r="AN1096" s="1391"/>
      <c r="AO1096" s="1391"/>
      <c r="AP1096" s="1391"/>
      <c r="AQ1096" s="1391"/>
      <c r="AR1096" s="1391"/>
      <c r="AS1096" s="14"/>
    </row>
    <row r="1097" spans="1:45" ht="12.9" customHeight="1">
      <c r="A1097" s="35"/>
      <c r="B1097" s="25"/>
      <c r="C1097" s="1426"/>
      <c r="D1097" s="1426"/>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 customHeight="1">
      <c r="A1098" s="1424" t="s">
        <v>589</v>
      </c>
      <c r="B1098" s="1424"/>
      <c r="C1098" s="1426">
        <v>7</v>
      </c>
      <c r="D1098" s="1426"/>
      <c r="E1098" s="1391" t="s">
        <v>2086</v>
      </c>
      <c r="F1098" s="1391"/>
      <c r="G1098" s="1391"/>
      <c r="H1098" s="1391"/>
      <c r="I1098" s="1391"/>
      <c r="J1098" s="1391"/>
      <c r="K1098" s="1391"/>
      <c r="L1098" s="1391"/>
      <c r="M1098" s="1391"/>
      <c r="N1098" s="1391"/>
      <c r="O1098" s="1391"/>
      <c r="P1098" s="1391"/>
      <c r="Q1098" s="1391"/>
      <c r="R1098" s="1391"/>
      <c r="S1098" s="1391"/>
      <c r="T1098" s="1391"/>
      <c r="U1098" s="1391"/>
      <c r="V1098" s="1391"/>
      <c r="W1098" s="1391"/>
      <c r="X1098" s="1391"/>
      <c r="Y1098" s="1391"/>
      <c r="Z1098" s="1391"/>
      <c r="AA1098" s="1391"/>
      <c r="AB1098" s="1391"/>
      <c r="AC1098" s="1391"/>
      <c r="AD1098" s="1391"/>
      <c r="AE1098" s="1391"/>
      <c r="AF1098" s="1391"/>
      <c r="AG1098" s="1391"/>
      <c r="AH1098" s="1391"/>
      <c r="AI1098" s="1391"/>
      <c r="AJ1098" s="1391"/>
      <c r="AK1098" s="1391"/>
      <c r="AL1098" s="1391"/>
      <c r="AM1098" s="1391"/>
      <c r="AN1098" s="1391"/>
      <c r="AO1098" s="1391"/>
      <c r="AP1098" s="1391"/>
      <c r="AQ1098" s="1391"/>
      <c r="AR1098" s="1391"/>
      <c r="AS1098" s="14"/>
    </row>
    <row r="1099" spans="1:45" ht="12.9" customHeight="1">
      <c r="A1099" s="1"/>
      <c r="B1099" s="1"/>
      <c r="C1099" s="1426"/>
      <c r="D1099" s="1426"/>
      <c r="E1099" s="1391"/>
      <c r="F1099" s="1391"/>
      <c r="G1099" s="1391"/>
      <c r="H1099" s="1391"/>
      <c r="I1099" s="1391"/>
      <c r="J1099" s="1391"/>
      <c r="K1099" s="1391"/>
      <c r="L1099" s="1391"/>
      <c r="M1099" s="1391"/>
      <c r="N1099" s="1391"/>
      <c r="O1099" s="1391"/>
      <c r="P1099" s="1391"/>
      <c r="Q1099" s="1391"/>
      <c r="R1099" s="1391"/>
      <c r="S1099" s="1391"/>
      <c r="T1099" s="1391"/>
      <c r="U1099" s="1391"/>
      <c r="V1099" s="1391"/>
      <c r="W1099" s="1391"/>
      <c r="X1099" s="1391"/>
      <c r="Y1099" s="1391"/>
      <c r="Z1099" s="1391"/>
      <c r="AA1099" s="1391"/>
      <c r="AB1099" s="1391"/>
      <c r="AC1099" s="1391"/>
      <c r="AD1099" s="1391"/>
      <c r="AE1099" s="1391"/>
      <c r="AF1099" s="1391"/>
      <c r="AG1099" s="1391"/>
      <c r="AH1099" s="1391"/>
      <c r="AI1099" s="1391"/>
      <c r="AJ1099" s="1391"/>
      <c r="AK1099" s="1391"/>
      <c r="AL1099" s="1391"/>
      <c r="AM1099" s="1391"/>
      <c r="AN1099" s="1391"/>
      <c r="AO1099" s="1391"/>
      <c r="AP1099" s="1391"/>
      <c r="AQ1099" s="1391"/>
      <c r="AR1099" s="1391"/>
      <c r="AS1099" s="14"/>
    </row>
    <row r="1100" spans="1:45" ht="12.9" customHeight="1">
      <c r="A1100" s="1"/>
      <c r="B1100" s="1"/>
      <c r="C1100" s="1426"/>
      <c r="D1100" s="1426"/>
      <c r="E1100" s="1391"/>
      <c r="F1100" s="1391"/>
      <c r="G1100" s="1391"/>
      <c r="H1100" s="1391"/>
      <c r="I1100" s="1391"/>
      <c r="J1100" s="1391"/>
      <c r="K1100" s="1391"/>
      <c r="L1100" s="1391"/>
      <c r="M1100" s="1391"/>
      <c r="N1100" s="1391"/>
      <c r="O1100" s="1391"/>
      <c r="P1100" s="1391"/>
      <c r="Q1100" s="1391"/>
      <c r="R1100" s="1391"/>
      <c r="S1100" s="1391"/>
      <c r="T1100" s="1391"/>
      <c r="U1100" s="1391"/>
      <c r="V1100" s="1391"/>
      <c r="W1100" s="1391"/>
      <c r="X1100" s="1391"/>
      <c r="Y1100" s="1391"/>
      <c r="Z1100" s="1391"/>
      <c r="AA1100" s="1391"/>
      <c r="AB1100" s="1391"/>
      <c r="AC1100" s="1391"/>
      <c r="AD1100" s="1391"/>
      <c r="AE1100" s="1391"/>
      <c r="AF1100" s="1391"/>
      <c r="AG1100" s="1391"/>
      <c r="AH1100" s="1391"/>
      <c r="AI1100" s="1391"/>
      <c r="AJ1100" s="1391"/>
      <c r="AK1100" s="1391"/>
      <c r="AL1100" s="1391"/>
      <c r="AM1100" s="1391"/>
      <c r="AN1100" s="1391"/>
      <c r="AO1100" s="1391"/>
      <c r="AP1100" s="1391"/>
      <c r="AQ1100" s="1391"/>
      <c r="AR1100" s="1391"/>
      <c r="AS1100" s="14"/>
    </row>
    <row r="1101" spans="1:45" ht="12.9" customHeight="1">
      <c r="A1101" s="1"/>
      <c r="B1101" s="1"/>
      <c r="C1101" s="1426"/>
      <c r="D1101" s="1426"/>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 customHeight="1">
      <c r="A1102" s="35"/>
      <c r="B1102" s="25"/>
      <c r="C1102" s="1426"/>
      <c r="D1102" s="1426"/>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 customHeight="1">
      <c r="A1103" s="1424" t="s">
        <v>589</v>
      </c>
      <c r="B1103" s="1424"/>
      <c r="C1103" s="1426">
        <v>8</v>
      </c>
      <c r="D1103" s="1426"/>
      <c r="E1103" s="1391" t="s">
        <v>1071</v>
      </c>
      <c r="F1103" s="1391"/>
      <c r="G1103" s="1391"/>
      <c r="H1103" s="1391"/>
      <c r="I1103" s="1391"/>
      <c r="J1103" s="1391"/>
      <c r="K1103" s="1391"/>
      <c r="L1103" s="1391"/>
      <c r="M1103" s="1391"/>
      <c r="N1103" s="1391"/>
      <c r="O1103" s="1391"/>
      <c r="P1103" s="1391"/>
      <c r="Q1103" s="1391"/>
      <c r="R1103" s="1391"/>
      <c r="S1103" s="1391"/>
      <c r="T1103" s="1391"/>
      <c r="U1103" s="1391"/>
      <c r="V1103" s="1391"/>
      <c r="W1103" s="1391"/>
      <c r="X1103" s="1391"/>
      <c r="Y1103" s="1391"/>
      <c r="Z1103" s="1391"/>
      <c r="AA1103" s="1391"/>
      <c r="AB1103" s="1391"/>
      <c r="AC1103" s="1391"/>
      <c r="AD1103" s="1391"/>
      <c r="AE1103" s="1391"/>
      <c r="AF1103" s="1391"/>
      <c r="AG1103" s="1391"/>
      <c r="AH1103" s="1391"/>
      <c r="AI1103" s="1391"/>
      <c r="AJ1103" s="1391"/>
      <c r="AK1103" s="1391"/>
      <c r="AL1103" s="1391"/>
      <c r="AM1103" s="1391"/>
      <c r="AN1103" s="1391"/>
      <c r="AO1103" s="1391"/>
      <c r="AP1103" s="1391"/>
      <c r="AQ1103" s="1391"/>
      <c r="AR1103" s="1391"/>
    </row>
    <row r="1104" spans="1:45" ht="12.9" customHeight="1">
      <c r="A1104" s="35"/>
      <c r="B1104" s="25"/>
      <c r="C1104" s="1426"/>
      <c r="D1104" s="1426"/>
      <c r="E1104" s="1391"/>
      <c r="F1104" s="1391"/>
      <c r="G1104" s="1391"/>
      <c r="H1104" s="1391"/>
      <c r="I1104" s="1391"/>
      <c r="J1104" s="1391"/>
      <c r="K1104" s="1391"/>
      <c r="L1104" s="1391"/>
      <c r="M1104" s="1391"/>
      <c r="N1104" s="1391"/>
      <c r="O1104" s="1391"/>
      <c r="P1104" s="1391"/>
      <c r="Q1104" s="1391"/>
      <c r="R1104" s="1391"/>
      <c r="S1104" s="1391"/>
      <c r="T1104" s="1391"/>
      <c r="U1104" s="1391"/>
      <c r="V1104" s="1391"/>
      <c r="W1104" s="1391"/>
      <c r="X1104" s="1391"/>
      <c r="Y1104" s="1391"/>
      <c r="Z1104" s="1391"/>
      <c r="AA1104" s="1391"/>
      <c r="AB1104" s="1391"/>
      <c r="AC1104" s="1391"/>
      <c r="AD1104" s="1391"/>
      <c r="AE1104" s="1391"/>
      <c r="AF1104" s="1391"/>
      <c r="AG1104" s="1391"/>
      <c r="AH1104" s="1391"/>
      <c r="AI1104" s="1391"/>
      <c r="AJ1104" s="1391"/>
      <c r="AK1104" s="1391"/>
      <c r="AL1104" s="1391"/>
      <c r="AM1104" s="1391"/>
      <c r="AN1104" s="1391"/>
      <c r="AO1104" s="1391"/>
      <c r="AP1104" s="1391"/>
      <c r="AQ1104" s="1391"/>
      <c r="AR1104" s="1391"/>
    </row>
    <row r="1105" spans="1:44" ht="12.9" customHeight="1">
      <c r="A1105" s="35"/>
      <c r="B1105" s="25"/>
      <c r="C1105" s="1426"/>
      <c r="D1105" s="1426"/>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 customHeight="1">
      <c r="A1106" s="1424" t="s">
        <v>589</v>
      </c>
      <c r="B1106" s="1424"/>
      <c r="C1106" s="1425">
        <v>9</v>
      </c>
      <c r="D1106" s="1425"/>
      <c r="E1106" s="1391" t="s">
        <v>1073</v>
      </c>
      <c r="F1106" s="1391"/>
      <c r="G1106" s="1391"/>
      <c r="H1106" s="1391"/>
      <c r="I1106" s="1391"/>
      <c r="J1106" s="1391"/>
      <c r="K1106" s="1391"/>
      <c r="L1106" s="1391"/>
      <c r="M1106" s="1391"/>
      <c r="N1106" s="1391"/>
      <c r="O1106" s="1391"/>
      <c r="P1106" s="1391"/>
      <c r="Q1106" s="1391"/>
      <c r="R1106" s="1391"/>
      <c r="S1106" s="1391"/>
      <c r="T1106" s="1391"/>
      <c r="U1106" s="1391"/>
      <c r="V1106" s="1391"/>
      <c r="W1106" s="1391"/>
      <c r="X1106" s="1391"/>
      <c r="Y1106" s="1391"/>
      <c r="Z1106" s="1391"/>
      <c r="AA1106" s="1391"/>
      <c r="AB1106" s="1391"/>
      <c r="AC1106" s="1391"/>
      <c r="AD1106" s="1391"/>
      <c r="AE1106" s="1391"/>
      <c r="AF1106" s="1391"/>
      <c r="AG1106" s="1391"/>
      <c r="AH1106" s="1391"/>
      <c r="AI1106" s="1391"/>
      <c r="AJ1106" s="1391"/>
      <c r="AK1106" s="1391"/>
      <c r="AL1106" s="1391"/>
      <c r="AM1106" s="1391"/>
      <c r="AN1106" s="1391"/>
      <c r="AO1106" s="1391"/>
      <c r="AP1106" s="1391"/>
      <c r="AQ1106" s="1391"/>
      <c r="AR1106" s="1391"/>
    </row>
    <row r="1107" spans="1:44" ht="12.9" customHeight="1">
      <c r="A1107" s="1"/>
      <c r="B1107" s="1"/>
      <c r="C1107" s="1425"/>
      <c r="D1107" s="1425"/>
      <c r="E1107" s="1391"/>
      <c r="F1107" s="1391"/>
      <c r="G1107" s="1391"/>
      <c r="H1107" s="1391"/>
      <c r="I1107" s="1391"/>
      <c r="J1107" s="1391"/>
      <c r="K1107" s="1391"/>
      <c r="L1107" s="1391"/>
      <c r="M1107" s="1391"/>
      <c r="N1107" s="1391"/>
      <c r="O1107" s="1391"/>
      <c r="P1107" s="1391"/>
      <c r="Q1107" s="1391"/>
      <c r="R1107" s="1391"/>
      <c r="S1107" s="1391"/>
      <c r="T1107" s="1391"/>
      <c r="U1107" s="1391"/>
      <c r="V1107" s="1391"/>
      <c r="W1107" s="1391"/>
      <c r="X1107" s="1391"/>
      <c r="Y1107" s="1391"/>
      <c r="Z1107" s="1391"/>
      <c r="AA1107" s="1391"/>
      <c r="AB1107" s="1391"/>
      <c r="AC1107" s="1391"/>
      <c r="AD1107" s="1391"/>
      <c r="AE1107" s="1391"/>
      <c r="AF1107" s="1391"/>
      <c r="AG1107" s="1391"/>
      <c r="AH1107" s="1391"/>
      <c r="AI1107" s="1391"/>
      <c r="AJ1107" s="1391"/>
      <c r="AK1107" s="1391"/>
      <c r="AL1107" s="1391"/>
      <c r="AM1107" s="1391"/>
      <c r="AN1107" s="1391"/>
      <c r="AO1107" s="1391"/>
      <c r="AP1107" s="1391"/>
      <c r="AQ1107" s="1391"/>
      <c r="AR1107" s="1391"/>
    </row>
    <row r="1108" spans="1:44" ht="12.9" customHeight="1">
      <c r="A1108" s="35"/>
      <c r="B1108" s="25"/>
      <c r="C1108" s="1425"/>
      <c r="D1108" s="1425"/>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 customHeight="1">
      <c r="A1109" s="1424" t="s">
        <v>589</v>
      </c>
      <c r="B1109" s="1424"/>
      <c r="C1109" s="1425">
        <v>10</v>
      </c>
      <c r="D1109" s="1425"/>
      <c r="E1109" s="1393" t="s">
        <v>2185</v>
      </c>
      <c r="F1109" s="1393"/>
      <c r="G1109" s="1393"/>
      <c r="H1109" s="1393"/>
      <c r="I1109" s="1393"/>
      <c r="J1109" s="1393"/>
      <c r="K1109" s="1393"/>
      <c r="L1109" s="1393"/>
      <c r="M1109" s="1393"/>
      <c r="N1109" s="1393"/>
      <c r="O1109" s="1393"/>
      <c r="P1109" s="1393"/>
      <c r="Q1109" s="1393"/>
      <c r="R1109" s="1393"/>
      <c r="S1109" s="1393"/>
      <c r="T1109" s="1393"/>
      <c r="U1109" s="1393"/>
      <c r="V1109" s="1393"/>
      <c r="W1109" s="1393"/>
      <c r="X1109" s="1393"/>
      <c r="Y1109" s="1393"/>
      <c r="Z1109" s="1393"/>
      <c r="AA1109" s="1393"/>
      <c r="AB1109" s="1393"/>
      <c r="AC1109" s="1393"/>
      <c r="AD1109" s="1393"/>
      <c r="AE1109" s="1393"/>
      <c r="AF1109" s="1393"/>
      <c r="AG1109" s="1393"/>
      <c r="AH1109" s="1393"/>
      <c r="AI1109" s="1393"/>
      <c r="AJ1109" s="1393"/>
      <c r="AK1109" s="1393"/>
      <c r="AL1109" s="1393"/>
      <c r="AM1109" s="1393"/>
      <c r="AN1109" s="1393"/>
      <c r="AO1109" s="1393"/>
      <c r="AP1109" s="1393"/>
      <c r="AQ1109" s="1393"/>
      <c r="AR1109" s="1393"/>
    </row>
    <row r="1110" spans="1:44" ht="12.9" customHeight="1">
      <c r="A1110" s="1"/>
      <c r="B1110" s="1"/>
      <c r="C1110" s="199"/>
      <c r="D1110" s="1149"/>
      <c r="E1110" s="1393"/>
      <c r="F1110" s="1393"/>
      <c r="G1110" s="1393"/>
      <c r="H1110" s="1393"/>
      <c r="I1110" s="1393"/>
      <c r="J1110" s="1393"/>
      <c r="K1110" s="1393"/>
      <c r="L1110" s="1393"/>
      <c r="M1110" s="1393"/>
      <c r="N1110" s="1393"/>
      <c r="O1110" s="1393"/>
      <c r="P1110" s="1393"/>
      <c r="Q1110" s="1393"/>
      <c r="R1110" s="1393"/>
      <c r="S1110" s="1393"/>
      <c r="T1110" s="1393"/>
      <c r="U1110" s="1393"/>
      <c r="V1110" s="1393"/>
      <c r="W1110" s="1393"/>
      <c r="X1110" s="1393"/>
      <c r="Y1110" s="1393"/>
      <c r="Z1110" s="1393"/>
      <c r="AA1110" s="1393"/>
      <c r="AB1110" s="1393"/>
      <c r="AC1110" s="1393"/>
      <c r="AD1110" s="1393"/>
      <c r="AE1110" s="1393"/>
      <c r="AF1110" s="1393"/>
      <c r="AG1110" s="1393"/>
      <c r="AH1110" s="1393"/>
      <c r="AI1110" s="1393"/>
      <c r="AJ1110" s="1393"/>
      <c r="AK1110" s="1393"/>
      <c r="AL1110" s="1393"/>
      <c r="AM1110" s="1393"/>
      <c r="AN1110" s="1393"/>
      <c r="AO1110" s="1393"/>
      <c r="AP1110" s="1393"/>
      <c r="AQ1110" s="1393"/>
      <c r="AR1110" s="1393"/>
    </row>
    <row r="1111" spans="1:44" ht="12.9"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 customHeight="1">
      <c r="A1112" s="1424" t="s">
        <v>589</v>
      </c>
      <c r="B1112" s="1424"/>
      <c r="C1112" s="1425">
        <v>11</v>
      </c>
      <c r="D1112" s="1425"/>
      <c r="E1112" s="1393" t="s">
        <v>2186</v>
      </c>
      <c r="F1112" s="1393"/>
      <c r="G1112" s="1393"/>
      <c r="H1112" s="1393"/>
      <c r="I1112" s="1393"/>
      <c r="J1112" s="1393"/>
      <c r="K1112" s="1393"/>
      <c r="L1112" s="1393"/>
      <c r="M1112" s="1393"/>
      <c r="N1112" s="1393"/>
      <c r="O1112" s="1393"/>
      <c r="P1112" s="1393"/>
      <c r="Q1112" s="1393"/>
      <c r="R1112" s="1393"/>
      <c r="S1112" s="1393"/>
      <c r="T1112" s="1393"/>
      <c r="U1112" s="1393"/>
      <c r="V1112" s="1393"/>
      <c r="W1112" s="1393"/>
      <c r="X1112" s="1393"/>
      <c r="Y1112" s="1393"/>
      <c r="Z1112" s="1393"/>
      <c r="AA1112" s="1393"/>
      <c r="AB1112" s="1393"/>
      <c r="AC1112" s="1393"/>
      <c r="AD1112" s="1393"/>
      <c r="AE1112" s="1393"/>
      <c r="AF1112" s="1393"/>
      <c r="AG1112" s="1393"/>
      <c r="AH1112" s="1393"/>
      <c r="AI1112" s="1393"/>
      <c r="AJ1112" s="1393"/>
      <c r="AK1112" s="1393"/>
      <c r="AL1112" s="1393"/>
      <c r="AM1112" s="1393"/>
      <c r="AN1112" s="1393"/>
      <c r="AO1112" s="1393"/>
      <c r="AP1112" s="1393"/>
      <c r="AQ1112" s="1393"/>
      <c r="AR1112" s="1393"/>
    </row>
    <row r="1113" spans="1:44" ht="12.9" customHeight="1">
      <c r="A1113" s="1"/>
      <c r="B1113" s="1"/>
      <c r="C1113" s="199"/>
      <c r="D1113" s="1149"/>
      <c r="E1113" s="1393"/>
      <c r="F1113" s="1393"/>
      <c r="G1113" s="1393"/>
      <c r="H1113" s="1393"/>
      <c r="I1113" s="1393"/>
      <c r="J1113" s="1393"/>
      <c r="K1113" s="1393"/>
      <c r="L1113" s="1393"/>
      <c r="M1113" s="1393"/>
      <c r="N1113" s="1393"/>
      <c r="O1113" s="1393"/>
      <c r="P1113" s="1393"/>
      <c r="Q1113" s="1393"/>
      <c r="R1113" s="1393"/>
      <c r="S1113" s="1393"/>
      <c r="T1113" s="1393"/>
      <c r="U1113" s="1393"/>
      <c r="V1113" s="1393"/>
      <c r="W1113" s="1393"/>
      <c r="X1113" s="1393"/>
      <c r="Y1113" s="1393"/>
      <c r="Z1113" s="1393"/>
      <c r="AA1113" s="1393"/>
      <c r="AB1113" s="1393"/>
      <c r="AC1113" s="1393"/>
      <c r="AD1113" s="1393"/>
      <c r="AE1113" s="1393"/>
      <c r="AF1113" s="1393"/>
      <c r="AG1113" s="1393"/>
      <c r="AH1113" s="1393"/>
      <c r="AI1113" s="1393"/>
      <c r="AJ1113" s="1393"/>
      <c r="AK1113" s="1393"/>
      <c r="AL1113" s="1393"/>
      <c r="AM1113" s="1393"/>
      <c r="AN1113" s="1393"/>
      <c r="AO1113" s="1393"/>
      <c r="AP1113" s="1393"/>
      <c r="AQ1113" s="1393"/>
      <c r="AR1113" s="1393"/>
    </row>
    <row r="1114" spans="1:44" ht="12.9"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424" t="s">
        <v>589</v>
      </c>
      <c r="B1134" s="1424"/>
      <c r="C1134" s="199">
        <v>9</v>
      </c>
      <c r="D1134" s="1354" t="s">
        <v>1072</v>
      </c>
      <c r="E1134" s="1354"/>
      <c r="F1134" s="1354"/>
      <c r="G1134" s="1354"/>
      <c r="H1134" s="1354"/>
      <c r="I1134" s="1354"/>
      <c r="J1134" s="1354"/>
      <c r="K1134" s="1354"/>
      <c r="L1134" s="1354"/>
      <c r="M1134" s="1354"/>
      <c r="N1134" s="1354"/>
      <c r="O1134" s="1354"/>
      <c r="P1134" s="1354"/>
      <c r="Q1134" s="1354"/>
      <c r="R1134" s="1354"/>
      <c r="S1134" s="1354"/>
      <c r="T1134" s="1354"/>
      <c r="U1134" s="1354"/>
      <c r="V1134" s="1354"/>
      <c r="W1134" s="1354"/>
      <c r="X1134" s="1354"/>
      <c r="Y1134" s="1354"/>
      <c r="Z1134" s="1354"/>
      <c r="AA1134" s="1354"/>
      <c r="AB1134" s="1354"/>
      <c r="AC1134" s="1354"/>
      <c r="AD1134" s="1354"/>
      <c r="AE1134" s="1354"/>
      <c r="AF1134" s="1354"/>
      <c r="AG1134" s="1354"/>
      <c r="AH1134" s="1354"/>
      <c r="AI1134" s="1354"/>
      <c r="AJ1134" s="1354"/>
      <c r="AK1134" s="1354"/>
    </row>
    <row r="1135" spans="1:37" ht="0" hidden="1" customHeight="1">
      <c r="A1135" s="35"/>
      <c r="B1135" s="25"/>
      <c r="C1135" s="199"/>
      <c r="D1135" s="1354"/>
      <c r="E1135" s="1354"/>
      <c r="F1135" s="1354"/>
      <c r="G1135" s="1354"/>
      <c r="H1135" s="1354"/>
      <c r="I1135" s="1354"/>
      <c r="J1135" s="1354"/>
      <c r="K1135" s="1354"/>
      <c r="L1135" s="1354"/>
      <c r="M1135" s="1354"/>
      <c r="N1135" s="1354"/>
      <c r="O1135" s="1354"/>
      <c r="P1135" s="1354"/>
      <c r="Q1135" s="1354"/>
      <c r="R1135" s="1354"/>
      <c r="S1135" s="1354"/>
      <c r="T1135" s="1354"/>
      <c r="U1135" s="1354"/>
      <c r="V1135" s="1354"/>
      <c r="W1135" s="1354"/>
      <c r="X1135" s="1354"/>
      <c r="Y1135" s="1354"/>
      <c r="Z1135" s="1354"/>
      <c r="AA1135" s="1354"/>
      <c r="AB1135" s="1354"/>
      <c r="AC1135" s="1354"/>
      <c r="AD1135" s="1354"/>
      <c r="AE1135" s="1354"/>
      <c r="AF1135" s="1354"/>
      <c r="AG1135" s="1354"/>
      <c r="AH1135" s="1354"/>
      <c r="AI1135" s="1354"/>
      <c r="AJ1135" s="1354"/>
      <c r="AK1135" s="1354"/>
    </row>
    <row r="1136" spans="1:37" ht="0" hidden="1" customHeight="1">
      <c r="D1136" s="1354"/>
      <c r="E1136" s="1354"/>
      <c r="F1136" s="1354"/>
      <c r="G1136" s="1354"/>
      <c r="H1136" s="1354"/>
      <c r="I1136" s="1354"/>
      <c r="J1136" s="1354"/>
      <c r="K1136" s="1354"/>
      <c r="L1136" s="1354"/>
      <c r="M1136" s="1354"/>
      <c r="N1136" s="1354"/>
      <c r="O1136" s="1354"/>
      <c r="P1136" s="1354"/>
      <c r="Q1136" s="1354"/>
      <c r="R1136" s="1354"/>
      <c r="S1136" s="1354"/>
      <c r="T1136" s="1354"/>
      <c r="U1136" s="1354"/>
      <c r="V1136" s="1354"/>
      <c r="W1136" s="1354"/>
      <c r="X1136" s="1354"/>
      <c r="Y1136" s="1354"/>
      <c r="Z1136" s="1354"/>
      <c r="AA1136" s="1354"/>
      <c r="AB1136" s="1354"/>
      <c r="AC1136" s="1354"/>
      <c r="AD1136" s="1354"/>
      <c r="AE1136" s="1354"/>
      <c r="AF1136" s="1354"/>
      <c r="AG1136" s="1354"/>
      <c r="AH1136" s="1354"/>
      <c r="AI1136" s="1354"/>
      <c r="AJ1136" s="1354"/>
      <c r="AK1136" s="1354"/>
    </row>
    <row r="1146" ht="15" hidden="1" customHeight="1"/>
    <row r="2026" ht="9.9"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EE800:EI800"/>
    <mergeCell ref="EE801:EI801"/>
    <mergeCell ref="EE802:EI802"/>
    <mergeCell ref="EE803:EI803"/>
    <mergeCell ref="EE804:EI804"/>
    <mergeCell ref="EE805:EI805"/>
    <mergeCell ref="EO796:ES796"/>
    <mergeCell ref="EO797:ES797"/>
    <mergeCell ref="EO798:ES798"/>
    <mergeCell ref="EO799:ES799"/>
    <mergeCell ref="EO800:ES800"/>
    <mergeCell ref="DU796:DY796"/>
    <mergeCell ref="DU797:DY797"/>
    <mergeCell ref="DU798:DY798"/>
    <mergeCell ref="DU799:DY799"/>
    <mergeCell ref="DU800:DY800"/>
    <mergeCell ref="DU801:DY801"/>
    <mergeCell ref="EO802:ES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J801:DN801"/>
    <mergeCell ref="DJ802:DN802"/>
    <mergeCell ref="DJ803:DN803"/>
    <mergeCell ref="DJ804:DN804"/>
    <mergeCell ref="DJ805:DN805"/>
    <mergeCell ref="DO795:DS795"/>
    <mergeCell ref="DO796:DS796"/>
    <mergeCell ref="EO801:ES801"/>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DZ804:ED804"/>
    <mergeCell ref="DZ805:ED805"/>
    <mergeCell ref="EO795:ES795"/>
    <mergeCell ref="EE795:EI795"/>
    <mergeCell ref="EE796:EI796"/>
    <mergeCell ref="DU795:DY795"/>
    <mergeCell ref="EE797:EI797"/>
    <mergeCell ref="EE798:EI798"/>
    <mergeCell ref="EE799:EI799"/>
    <mergeCell ref="DO799:DS799"/>
    <mergeCell ref="DO801:DS801"/>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CZ801:DD801"/>
    <mergeCell ref="CZ802:DD802"/>
    <mergeCell ref="CZ803:DD803"/>
    <mergeCell ref="CZ804:DD804"/>
    <mergeCell ref="CZ805:DD805"/>
    <mergeCell ref="DE801:DI801"/>
    <mergeCell ref="DE795:DI795"/>
    <mergeCell ref="DU802:DY802"/>
    <mergeCell ref="DE798:DI798"/>
    <mergeCell ref="DU804:DY804"/>
    <mergeCell ref="DE797:DI797"/>
    <mergeCell ref="DE803:DI803"/>
    <mergeCell ref="DE804:DI804"/>
    <mergeCell ref="DE805:DI805"/>
    <mergeCell ref="DJ795:DN795"/>
    <mergeCell ref="DJ796:DN796"/>
    <mergeCell ref="DJ797:DN797"/>
    <mergeCell ref="DJ798:DN798"/>
    <mergeCell ref="DJ799:DN799"/>
    <mergeCell ref="DJ800:DN800"/>
    <mergeCell ref="CG740:CH740"/>
    <mergeCell ref="CI760:CJ760"/>
    <mergeCell ref="CM761:CN761"/>
    <mergeCell ref="CI758:CJ758"/>
    <mergeCell ref="CM755:CN755"/>
    <mergeCell ref="CP750:CT750"/>
    <mergeCell ref="CP751:CT751"/>
    <mergeCell ref="DO797:DS797"/>
    <mergeCell ref="CG742:CH742"/>
    <mergeCell ref="DO802:DS802"/>
    <mergeCell ref="DO803:DS803"/>
    <mergeCell ref="DO804:DS804"/>
    <mergeCell ref="DO805:DS805"/>
    <mergeCell ref="CG757:CH757"/>
    <mergeCell ref="CI756:CJ756"/>
    <mergeCell ref="CI749:CJ749"/>
    <mergeCell ref="DJ751:DN751"/>
    <mergeCell ref="DO751:DS751"/>
    <mergeCell ref="DO752:DS752"/>
    <mergeCell ref="DJ741:DN741"/>
    <mergeCell ref="DO747:DS747"/>
    <mergeCell ref="CP803:CT803"/>
    <mergeCell ref="CP804:CT804"/>
    <mergeCell ref="CK726:CL726"/>
    <mergeCell ref="CU795:CY795"/>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P748:CT748"/>
    <mergeCell ref="CZ741:DD741"/>
    <mergeCell ref="CZ744:DD744"/>
    <mergeCell ref="CZ758:DD758"/>
    <mergeCell ref="CK756:CL756"/>
    <mergeCell ref="CM756:CN756"/>
    <mergeCell ref="CP754:CT754"/>
    <mergeCell ref="CU754:CY754"/>
    <mergeCell ref="CP733:CT733"/>
    <mergeCell ref="CU731:CY731"/>
    <mergeCell ref="CZ735:DD735"/>
    <mergeCell ref="CM732:CN732"/>
    <mergeCell ref="CP758:CT758"/>
    <mergeCell ref="CU758:CY758"/>
    <mergeCell ref="AK756:AO756"/>
    <mergeCell ref="CK754:CL754"/>
    <mergeCell ref="CM754:CN754"/>
    <mergeCell ref="CG747:CH747"/>
    <mergeCell ref="CG748:CH748"/>
    <mergeCell ref="CK745:CL745"/>
    <mergeCell ref="CU752:CY752"/>
    <mergeCell ref="CP752:CT752"/>
    <mergeCell ref="CM758:CN758"/>
    <mergeCell ref="CG755:CH755"/>
    <mergeCell ref="CI755:CJ755"/>
    <mergeCell ref="CK755:CL755"/>
    <mergeCell ref="CP742:CT742"/>
    <mergeCell ref="CU748:CY748"/>
    <mergeCell ref="CK753:CL753"/>
    <mergeCell ref="CI751:CJ751"/>
    <mergeCell ref="CK751:CL751"/>
    <mergeCell ref="CM751:CN751"/>
    <mergeCell ref="CI757:CJ757"/>
    <mergeCell ref="CK757:CL757"/>
    <mergeCell ref="CM757:CN757"/>
    <mergeCell ref="CK749:CL749"/>
    <mergeCell ref="AK745:AO745"/>
    <mergeCell ref="CM747:CN747"/>
    <mergeCell ref="CI745:CJ745"/>
    <mergeCell ref="CP744:CT744"/>
    <mergeCell ref="CM745:CN745"/>
    <mergeCell ref="CU745:CY745"/>
    <mergeCell ref="CG744:CH744"/>
    <mergeCell ref="CM759:CN759"/>
    <mergeCell ref="AC758:AG758"/>
    <mergeCell ref="AC759:AG759"/>
    <mergeCell ref="T756:W756"/>
    <mergeCell ref="X755:AB755"/>
    <mergeCell ref="AH760:AJ760"/>
    <mergeCell ref="X754:AB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FJ761:FN761"/>
    <mergeCell ref="FO758:FS758"/>
    <mergeCell ref="AH758:AJ758"/>
    <mergeCell ref="T760:W760"/>
    <mergeCell ref="FE761:FI761"/>
    <mergeCell ref="EE758:EI758"/>
    <mergeCell ref="EJ758:EN758"/>
    <mergeCell ref="CK759:CL759"/>
    <mergeCell ref="CI759:CJ759"/>
    <mergeCell ref="AK755:AO755"/>
    <mergeCell ref="CP756:CT756"/>
    <mergeCell ref="FE760:FI760"/>
    <mergeCell ref="FJ760:FN760"/>
    <mergeCell ref="FO760:FS760"/>
    <mergeCell ref="EO760:ES760"/>
    <mergeCell ref="EJ760:EN760"/>
    <mergeCell ref="FJ749:FN749"/>
    <mergeCell ref="FO749:FS749"/>
    <mergeCell ref="EZ757:FD757"/>
    <mergeCell ref="FE757:FI757"/>
    <mergeCell ref="FJ757:FN757"/>
    <mergeCell ref="FO757:FS757"/>
    <mergeCell ref="ET759:EX759"/>
    <mergeCell ref="EJ759:EN759"/>
    <mergeCell ref="EO761:ES761"/>
    <mergeCell ref="DE796:DI796"/>
    <mergeCell ref="CU759:CY759"/>
    <mergeCell ref="CU784:CY784"/>
    <mergeCell ref="CU756:CY756"/>
    <mergeCell ref="DE749:DI749"/>
    <mergeCell ref="ET752:EX752"/>
    <mergeCell ref="EE754:EI754"/>
    <mergeCell ref="EJ754:EN754"/>
    <mergeCell ref="EO754:ES754"/>
    <mergeCell ref="ET754:EX754"/>
    <mergeCell ref="DU755:DY755"/>
    <mergeCell ref="DZ755:ED755"/>
    <mergeCell ref="DE750:DI750"/>
    <mergeCell ref="FY750:GC750"/>
    <mergeCell ref="EZ751:FD751"/>
    <mergeCell ref="FE752:FI752"/>
    <mergeCell ref="FJ752:FN752"/>
    <mergeCell ref="FO752:FS752"/>
    <mergeCell ref="FT752:FX752"/>
    <mergeCell ref="FY752:GC752"/>
    <mergeCell ref="EE751:EI751"/>
    <mergeCell ref="EJ751:EN751"/>
    <mergeCell ref="EO751:ES751"/>
    <mergeCell ref="ET749:EX749"/>
    <mergeCell ref="ET750:EX750"/>
    <mergeCell ref="FE750:FI750"/>
    <mergeCell ref="FJ750:FN750"/>
    <mergeCell ref="FO750:FS750"/>
    <mergeCell ref="EE749:EI749"/>
    <mergeCell ref="EJ749:EN749"/>
    <mergeCell ref="EO749:ES749"/>
    <mergeCell ref="EE750:EI750"/>
    <mergeCell ref="EJ750:EN750"/>
    <mergeCell ref="EO750:ES750"/>
    <mergeCell ref="FY751:GC751"/>
    <mergeCell ref="ET751:EX751"/>
    <mergeCell ref="FT733:FX733"/>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R666:EV666"/>
    <mergeCell ref="EW666:FA666"/>
    <mergeCell ref="EC673:EG673"/>
    <mergeCell ref="EH673:EL673"/>
    <mergeCell ref="EM673:EQ673"/>
    <mergeCell ref="ER673:EV673"/>
    <mergeCell ref="AE710:AF710"/>
    <mergeCell ref="FT754:FX754"/>
    <mergeCell ref="FY754:GC754"/>
    <mergeCell ref="EZ755:FD755"/>
    <mergeCell ref="FE755:FI755"/>
    <mergeCell ref="FT757:FX757"/>
    <mergeCell ref="FJ755:FN755"/>
    <mergeCell ref="FO755:FS755"/>
    <mergeCell ref="FT755:FX755"/>
    <mergeCell ref="EZ756:FD756"/>
    <mergeCell ref="FY757:GC757"/>
    <mergeCell ref="EO757:ES757"/>
    <mergeCell ref="EE755:EI755"/>
    <mergeCell ref="EJ755:EN755"/>
    <mergeCell ref="EW644:FA644"/>
    <mergeCell ref="ER645:EV645"/>
    <mergeCell ref="EM667:EQ667"/>
    <mergeCell ref="Z667:AK667"/>
    <mergeCell ref="AH747:AJ747"/>
    <mergeCell ref="EZ752:FD752"/>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CP757:CT757"/>
    <mergeCell ref="CU757:CY757"/>
    <mergeCell ref="CZ757:DD757"/>
    <mergeCell ref="DE757:DI757"/>
    <mergeCell ref="DJ757:DN757"/>
    <mergeCell ref="DO757:DS757"/>
    <mergeCell ref="CZ756:DD756"/>
    <mergeCell ref="DE756:DI756"/>
    <mergeCell ref="DJ756:DN756"/>
    <mergeCell ref="DO756:DS756"/>
    <mergeCell ref="CU755:CY755"/>
    <mergeCell ref="CZ755:DD755"/>
    <mergeCell ref="DE755:DI755"/>
    <mergeCell ref="ET757:EX757"/>
    <mergeCell ref="AK642:AN642"/>
    <mergeCell ref="AK643:AN643"/>
    <mergeCell ref="CK752:CL752"/>
    <mergeCell ref="CM752:CN752"/>
    <mergeCell ref="CG746:CH746"/>
    <mergeCell ref="CK747:CL747"/>
    <mergeCell ref="CI750:CJ750"/>
    <mergeCell ref="CP728:CT728"/>
    <mergeCell ref="CU728:CY728"/>
    <mergeCell ref="DU751:DY751"/>
    <mergeCell ref="DZ751:ED751"/>
    <mergeCell ref="CP753:CT753"/>
    <mergeCell ref="CG756:CH756"/>
    <mergeCell ref="CK730:CL730"/>
    <mergeCell ref="CK727:CL727"/>
    <mergeCell ref="CG732:CH732"/>
    <mergeCell ref="EW673:FA673"/>
    <mergeCell ref="DE726:DI726"/>
    <mergeCell ref="FE729:FI729"/>
    <mergeCell ref="EZ733:FD733"/>
    <mergeCell ref="FE733:FI733"/>
    <mergeCell ref="EZ732:FD732"/>
    <mergeCell ref="FY733:GC733"/>
    <mergeCell ref="FT732:FX732"/>
    <mergeCell ref="FY732:GC732"/>
    <mergeCell ref="FJ732:FN732"/>
    <mergeCell ref="FO732:FS732"/>
    <mergeCell ref="FE732:FI732"/>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I559:AL561"/>
    <mergeCell ref="AH518:AK518"/>
    <mergeCell ref="AA590:AK590"/>
    <mergeCell ref="H581:R581"/>
    <mergeCell ref="B574:AL574"/>
    <mergeCell ref="AE568:AH568"/>
    <mergeCell ref="N583:O583"/>
    <mergeCell ref="Z559:AD561"/>
    <mergeCell ref="N599:O599"/>
    <mergeCell ref="AH521:AK521"/>
    <mergeCell ref="CI747:CJ747"/>
    <mergeCell ref="Z577:AK577"/>
    <mergeCell ref="AH523:AK523"/>
    <mergeCell ref="W638:Y638"/>
    <mergeCell ref="G580:L580"/>
    <mergeCell ref="CM750:CN750"/>
    <mergeCell ref="AM565:AS565"/>
    <mergeCell ref="AK751:AO751"/>
    <mergeCell ref="AK752:AO752"/>
    <mergeCell ref="AC464:AF464"/>
    <mergeCell ref="D474:V474"/>
    <mergeCell ref="Q499:AK499"/>
    <mergeCell ref="AH503:AK503"/>
    <mergeCell ref="D473:V473"/>
    <mergeCell ref="AC516:AF516"/>
    <mergeCell ref="AH545:AK545"/>
    <mergeCell ref="AC542:AF542"/>
    <mergeCell ref="AH550:AK550"/>
    <mergeCell ref="AH515:AK515"/>
    <mergeCell ref="AC539:AF539"/>
    <mergeCell ref="AC547:AF547"/>
    <mergeCell ref="L516:AB516"/>
    <mergeCell ref="O528:AA528"/>
    <mergeCell ref="AH526:AK526"/>
    <mergeCell ref="AC522:AF522"/>
    <mergeCell ref="AH546:AK546"/>
    <mergeCell ref="Q502:AK502"/>
    <mergeCell ref="AC536:AF536"/>
    <mergeCell ref="O537:AA537"/>
    <mergeCell ref="AH541:AK541"/>
    <mergeCell ref="AC511:AF511"/>
    <mergeCell ref="AG459:AJ459"/>
    <mergeCell ref="D475:V475"/>
    <mergeCell ref="Q568:S568"/>
    <mergeCell ref="W475:Y475"/>
    <mergeCell ref="W478:Y478"/>
    <mergeCell ref="D479:V479"/>
    <mergeCell ref="AH513:AK513"/>
    <mergeCell ref="AC546:AF546"/>
    <mergeCell ref="Z562:AD562"/>
    <mergeCell ref="AH539:AK539"/>
    <mergeCell ref="AH548:AK548"/>
    <mergeCell ref="AC523:AF523"/>
    <mergeCell ref="C564:L564"/>
    <mergeCell ref="M564:P564"/>
    <mergeCell ref="C567:L567"/>
    <mergeCell ref="B559:L561"/>
    <mergeCell ref="AC538:AF538"/>
    <mergeCell ref="AH536:AK536"/>
    <mergeCell ref="M567:P567"/>
    <mergeCell ref="AH534:AK534"/>
    <mergeCell ref="AH528:AK528"/>
    <mergeCell ref="AC513:AF513"/>
    <mergeCell ref="AC544:AF544"/>
    <mergeCell ref="D476:V476"/>
    <mergeCell ref="AC520:AF520"/>
    <mergeCell ref="AC550:AF550"/>
    <mergeCell ref="B497:P498"/>
    <mergeCell ref="AC514:AF514"/>
    <mergeCell ref="Q497:R498"/>
    <mergeCell ref="Q496:AK496"/>
    <mergeCell ref="AH543:AK543"/>
    <mergeCell ref="AC540:AF540"/>
    <mergeCell ref="AC521:AF521"/>
    <mergeCell ref="B511:H516"/>
    <mergeCell ref="AC526:AF526"/>
    <mergeCell ref="AH508:AK508"/>
    <mergeCell ref="CP805:CT805"/>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Z636:AB636"/>
    <mergeCell ref="AM568:AS568"/>
    <mergeCell ref="AI568:AL568"/>
    <mergeCell ref="AE563:AH563"/>
    <mergeCell ref="AI562:AL562"/>
    <mergeCell ref="AI566:AL566"/>
    <mergeCell ref="T559:V561"/>
    <mergeCell ref="Z565:AD565"/>
    <mergeCell ref="Z567:AD567"/>
    <mergeCell ref="Z570:AD570"/>
    <mergeCell ref="T570:V570"/>
    <mergeCell ref="CM753:CN753"/>
    <mergeCell ref="CG754:CH754"/>
    <mergeCell ref="CI754:CJ754"/>
    <mergeCell ref="T782:W782"/>
    <mergeCell ref="CP759:CT759"/>
    <mergeCell ref="AK743:AO743"/>
    <mergeCell ref="X746:AB746"/>
    <mergeCell ref="X737:AB737"/>
    <mergeCell ref="AG453:AJ453"/>
    <mergeCell ref="AC549:AF549"/>
    <mergeCell ref="D449:AF449"/>
    <mergeCell ref="W565:Y565"/>
    <mergeCell ref="AC534:AF534"/>
    <mergeCell ref="T564:V564"/>
    <mergeCell ref="W559:Y561"/>
    <mergeCell ref="AE411:AJ411"/>
    <mergeCell ref="D455:AF455"/>
    <mergeCell ref="CZ783:DD783"/>
    <mergeCell ref="CZ784:DD784"/>
    <mergeCell ref="Z641:AB641"/>
    <mergeCell ref="CZ738:DD738"/>
    <mergeCell ref="AI687:AK687"/>
    <mergeCell ref="Z671:AE671"/>
    <mergeCell ref="Z651:AK651"/>
    <mergeCell ref="CZ725:DD725"/>
    <mergeCell ref="CI730:CJ730"/>
    <mergeCell ref="CG729:CH729"/>
    <mergeCell ref="CK728:CL728"/>
    <mergeCell ref="CG739:CH739"/>
    <mergeCell ref="CP730:CT730"/>
    <mergeCell ref="CP726:CT726"/>
    <mergeCell ref="CI726:CJ726"/>
    <mergeCell ref="CI732:CJ732"/>
    <mergeCell ref="CK760:CL760"/>
    <mergeCell ref="CP755:CT755"/>
    <mergeCell ref="CM739:CN739"/>
    <mergeCell ref="AG458:AJ458"/>
    <mergeCell ref="Z563:AD563"/>
    <mergeCell ref="O543:AA543"/>
    <mergeCell ref="AH531:AK531"/>
    <mergeCell ref="AE562:AH562"/>
    <mergeCell ref="I430:K430"/>
    <mergeCell ref="AH532:AK532"/>
    <mergeCell ref="AH533:AK533"/>
    <mergeCell ref="AC515:AF515"/>
    <mergeCell ref="AH524:AK524"/>
    <mergeCell ref="AC527:AF527"/>
    <mergeCell ref="AC531:AF531"/>
    <mergeCell ref="AH537:AK537"/>
    <mergeCell ref="AH542:AK542"/>
    <mergeCell ref="AH547:AK547"/>
    <mergeCell ref="AH549:AK549"/>
    <mergeCell ref="AC543:AF543"/>
    <mergeCell ref="O540:AA540"/>
    <mergeCell ref="AC517:AF517"/>
    <mergeCell ref="AH511:AK511"/>
    <mergeCell ref="AC508:AF508"/>
    <mergeCell ref="AH540:AK540"/>
    <mergeCell ref="AC530:AF530"/>
    <mergeCell ref="D457:AF457"/>
    <mergeCell ref="AG454:AJ454"/>
    <mergeCell ref="D481:V481"/>
    <mergeCell ref="D478:V478"/>
    <mergeCell ref="T562:V562"/>
    <mergeCell ref="AC532:AF532"/>
    <mergeCell ref="AH514:AK514"/>
    <mergeCell ref="AH516:AK516"/>
    <mergeCell ref="AC548:AF548"/>
    <mergeCell ref="AG452:AJ452"/>
    <mergeCell ref="P433:Q433"/>
    <mergeCell ref="N372:O372"/>
    <mergeCell ref="AG400:AJ400"/>
    <mergeCell ref="N689:O689"/>
    <mergeCell ref="X727:AB727"/>
    <mergeCell ref="G694:R694"/>
    <mergeCell ref="C643:L643"/>
    <mergeCell ref="AI401:AJ401"/>
    <mergeCell ref="AG403:AJ403"/>
    <mergeCell ref="J397:U397"/>
    <mergeCell ref="P427:R427"/>
    <mergeCell ref="M503:P503"/>
    <mergeCell ref="AC509:AF509"/>
    <mergeCell ref="AG447:AJ447"/>
    <mergeCell ref="B509:H510"/>
    <mergeCell ref="O531:AA531"/>
    <mergeCell ref="D458:AF458"/>
    <mergeCell ref="Q562:S562"/>
    <mergeCell ref="AC518:AF518"/>
    <mergeCell ref="AH522:AK522"/>
    <mergeCell ref="Q399:U399"/>
    <mergeCell ref="I419:AE419"/>
    <mergeCell ref="AG404:AJ404"/>
    <mergeCell ref="M566:P566"/>
    <mergeCell ref="G579:R579"/>
    <mergeCell ref="Q567:S567"/>
    <mergeCell ref="C635:L635"/>
    <mergeCell ref="P589:R589"/>
    <mergeCell ref="AI398:AJ398"/>
    <mergeCell ref="AG455:AJ455"/>
    <mergeCell ref="Q573:S573"/>
    <mergeCell ref="J376:K376"/>
    <mergeCell ref="D448:AF448"/>
    <mergeCell ref="AI406:AJ406"/>
    <mergeCell ref="D446:AF446"/>
    <mergeCell ref="D451:AF451"/>
    <mergeCell ref="AF439:AG439"/>
    <mergeCell ref="AG446:AJ446"/>
    <mergeCell ref="E429:AJ429"/>
    <mergeCell ref="AG388:AH388"/>
    <mergeCell ref="S401:U401"/>
    <mergeCell ref="AG399:AJ399"/>
    <mergeCell ref="Q400:U400"/>
    <mergeCell ref="N381:Q381"/>
    <mergeCell ref="AC395:AJ395"/>
    <mergeCell ref="K412:AJ412"/>
    <mergeCell ref="AG449:AJ449"/>
    <mergeCell ref="S410:U410"/>
    <mergeCell ref="AG410:AJ410"/>
    <mergeCell ref="K413:AJ413"/>
    <mergeCell ref="Q402:U402"/>
    <mergeCell ref="AG389:AH389"/>
    <mergeCell ref="S422:T422"/>
    <mergeCell ref="M261:AE261"/>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S414:AJ414"/>
    <mergeCell ref="AC394:AJ394"/>
    <mergeCell ref="S411:U411"/>
    <mergeCell ref="AG450:AJ450"/>
    <mergeCell ref="D447:AF447"/>
    <mergeCell ref="P358:AE358"/>
    <mergeCell ref="AA345:AK345"/>
    <mergeCell ref="H345:R345"/>
    <mergeCell ref="D450:AF450"/>
    <mergeCell ref="P356:Z356"/>
    <mergeCell ref="M257:AE257"/>
    <mergeCell ref="M252:AE252"/>
    <mergeCell ref="D204:M204"/>
    <mergeCell ref="M247:T247"/>
    <mergeCell ref="T197:U197"/>
    <mergeCell ref="AF260:AK260"/>
    <mergeCell ref="AA310:AK310"/>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AI237:AJ237"/>
    <mergeCell ref="M244:AE244"/>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R177:S177"/>
    <mergeCell ref="Y120:AK120"/>
    <mergeCell ref="O160:T160"/>
    <mergeCell ref="AI178:AK178"/>
    <mergeCell ref="I185:AE185"/>
    <mergeCell ref="U245:W245"/>
    <mergeCell ref="T189:AE189"/>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M243:T243"/>
    <mergeCell ref="W243:X243"/>
    <mergeCell ref="T212:U212"/>
    <mergeCell ref="F150:T150"/>
    <mergeCell ref="J173:S173"/>
    <mergeCell ref="AH255:AK255"/>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AI235:AJ235"/>
    <mergeCell ref="Z264:AE264"/>
    <mergeCell ref="M264:R264"/>
    <mergeCell ref="A291:AT292"/>
    <mergeCell ref="AA247:AK247"/>
    <mergeCell ref="M260:AE260"/>
    <mergeCell ref="X180:Y180"/>
    <mergeCell ref="AP205:AQ205"/>
    <mergeCell ref="AI238:AJ238"/>
    <mergeCell ref="U175:V175"/>
    <mergeCell ref="V285:W285"/>
    <mergeCell ref="M263:AE263"/>
    <mergeCell ref="AC262:AE262"/>
    <mergeCell ref="D279:H279"/>
    <mergeCell ref="X279:AC279"/>
    <mergeCell ref="AA297:AK297"/>
    <mergeCell ref="U264:W264"/>
    <mergeCell ref="M273:AE273"/>
    <mergeCell ref="AA300:AF300"/>
    <mergeCell ref="AA315:AK315"/>
    <mergeCell ref="AA312:AK312"/>
    <mergeCell ref="H320:R320"/>
    <mergeCell ref="H317:M317"/>
    <mergeCell ref="P316:R316"/>
    <mergeCell ref="H314:R314"/>
    <mergeCell ref="P308:R308"/>
    <mergeCell ref="AB285:AD285"/>
    <mergeCell ref="Y287:AD287"/>
    <mergeCell ref="AA304:AK304"/>
    <mergeCell ref="AA308:AF308"/>
    <mergeCell ref="AI308:AK308"/>
    <mergeCell ref="AA337:AK337"/>
    <mergeCell ref="AA336:AK336"/>
    <mergeCell ref="H341:M341"/>
    <mergeCell ref="AI324:AK324"/>
    <mergeCell ref="AA321:AK321"/>
    <mergeCell ref="AA338:AK338"/>
    <mergeCell ref="AA330:AK330"/>
    <mergeCell ref="H334:R334"/>
    <mergeCell ref="H322:R322"/>
    <mergeCell ref="AA317:AF317"/>
    <mergeCell ref="H321:R321"/>
    <mergeCell ref="AI316:AK316"/>
    <mergeCell ref="AA328:AK328"/>
    <mergeCell ref="AA340:AF340"/>
    <mergeCell ref="AA332:AF332"/>
    <mergeCell ref="H329:R329"/>
    <mergeCell ref="H337:R337"/>
    <mergeCell ref="AI332:AK332"/>
    <mergeCell ref="AA329:AK329"/>
    <mergeCell ref="H332:M332"/>
    <mergeCell ref="AA339:AK339"/>
    <mergeCell ref="H333:M333"/>
    <mergeCell ref="H336:R336"/>
    <mergeCell ref="H323:R323"/>
    <mergeCell ref="H325:M325"/>
    <mergeCell ref="AA331:AK331"/>
    <mergeCell ref="H318:R318"/>
    <mergeCell ref="AA334:AK334"/>
    <mergeCell ref="H324:M324"/>
    <mergeCell ref="H330:R330"/>
    <mergeCell ref="H331:R331"/>
    <mergeCell ref="H316:M316"/>
    <mergeCell ref="H338:R338"/>
    <mergeCell ref="H339:R339"/>
    <mergeCell ref="AA333:AF333"/>
    <mergeCell ref="AA323:AK323"/>
    <mergeCell ref="AA322:AK322"/>
    <mergeCell ref="H328:R328"/>
    <mergeCell ref="AA325:AF325"/>
    <mergeCell ref="AA320:AK320"/>
    <mergeCell ref="H310:R310"/>
    <mergeCell ref="Z272:AE272"/>
    <mergeCell ref="P324:R324"/>
    <mergeCell ref="AA309:AF309"/>
    <mergeCell ref="W270:X270"/>
    <mergeCell ref="U272:W272"/>
    <mergeCell ref="M266:T266"/>
    <mergeCell ref="M265:AE265"/>
    <mergeCell ref="H326:R326"/>
    <mergeCell ref="P332:R332"/>
    <mergeCell ref="AA324:AF324"/>
    <mergeCell ref="AA307:AK307"/>
    <mergeCell ref="AA301:AF301"/>
    <mergeCell ref="AA302:AK302"/>
    <mergeCell ref="L286:AD286"/>
    <mergeCell ref="L287:Q287"/>
    <mergeCell ref="L289:AD289"/>
    <mergeCell ref="H315:R315"/>
    <mergeCell ref="AA313:AK313"/>
    <mergeCell ref="L288:AD288"/>
    <mergeCell ref="H297:R297"/>
    <mergeCell ref="AA318:AK318"/>
    <mergeCell ref="H298:R298"/>
    <mergeCell ref="H299:R299"/>
    <mergeCell ref="AA316:AF316"/>
    <mergeCell ref="H296:R296"/>
    <mergeCell ref="H300:M300"/>
    <mergeCell ref="H302:R302"/>
    <mergeCell ref="H312:R312"/>
    <mergeCell ref="AA314:AK314"/>
    <mergeCell ref="AA326:AK326"/>
    <mergeCell ref="H313:R313"/>
    <mergeCell ref="M262:T262"/>
    <mergeCell ref="L283:AJ283"/>
    <mergeCell ref="H308:M308"/>
    <mergeCell ref="H309:M309"/>
    <mergeCell ref="AA266:AK266"/>
    <mergeCell ref="M269:AE269"/>
    <mergeCell ref="AA274:AK274"/>
    <mergeCell ref="H304:R304"/>
    <mergeCell ref="M270:T270"/>
    <mergeCell ref="H307:R307"/>
    <mergeCell ref="L284:AD284"/>
    <mergeCell ref="H301:M301"/>
    <mergeCell ref="L285:S285"/>
    <mergeCell ref="AA298:AK298"/>
    <mergeCell ref="AA299:AK299"/>
    <mergeCell ref="AH271:AK271"/>
    <mergeCell ref="T276:X276"/>
    <mergeCell ref="AF268:AK268"/>
    <mergeCell ref="AC270:AE270"/>
    <mergeCell ref="M271:AE271"/>
    <mergeCell ref="H306:R306"/>
    <mergeCell ref="W262:X262"/>
    <mergeCell ref="AI300:AK300"/>
    <mergeCell ref="H305:R305"/>
    <mergeCell ref="AH263:AK263"/>
    <mergeCell ref="M268:AE268"/>
    <mergeCell ref="AA305:AK305"/>
    <mergeCell ref="M272:R272"/>
    <mergeCell ref="M274:T274"/>
    <mergeCell ref="AA306:AK306"/>
    <mergeCell ref="H340:M340"/>
    <mergeCell ref="H350:R350"/>
    <mergeCell ref="H344:R344"/>
    <mergeCell ref="AA342:AK342"/>
    <mergeCell ref="H348:M348"/>
    <mergeCell ref="D477:V477"/>
    <mergeCell ref="W481:Y481"/>
    <mergeCell ref="Q403:U403"/>
    <mergeCell ref="AD421:AE421"/>
    <mergeCell ref="H423:AE424"/>
    <mergeCell ref="AE434:AF434"/>
    <mergeCell ref="AC528:AF528"/>
    <mergeCell ref="AC535:AF535"/>
    <mergeCell ref="AH529:AK529"/>
    <mergeCell ref="P340:R340"/>
    <mergeCell ref="P355:AE355"/>
    <mergeCell ref="W477:Y477"/>
    <mergeCell ref="Q500:AK500"/>
    <mergeCell ref="AF427:AH427"/>
    <mergeCell ref="AJ366:AK366"/>
    <mergeCell ref="AA341:AF341"/>
    <mergeCell ref="AC379:AF379"/>
    <mergeCell ref="V386:W386"/>
    <mergeCell ref="S386:T386"/>
    <mergeCell ref="Y373:Z373"/>
    <mergeCell ref="N387:P387"/>
    <mergeCell ref="W427:Y427"/>
    <mergeCell ref="AG448:AJ448"/>
    <mergeCell ref="AC465:AF465"/>
    <mergeCell ref="M364:N364"/>
    <mergeCell ref="AE433:AF433"/>
    <mergeCell ref="M367:N367"/>
    <mergeCell ref="H347:R347"/>
    <mergeCell ref="AG402:AJ402"/>
    <mergeCell ref="AG457:AJ457"/>
    <mergeCell ref="AH509:AK509"/>
    <mergeCell ref="G482:V482"/>
    <mergeCell ref="AH520:AK520"/>
    <mergeCell ref="Z443:AA443"/>
    <mergeCell ref="AC396:AJ396"/>
    <mergeCell ref="V397:AJ397"/>
    <mergeCell ref="D452:AF452"/>
    <mergeCell ref="P348:R348"/>
    <mergeCell ref="AA350:AK350"/>
    <mergeCell ref="E377:AH378"/>
    <mergeCell ref="Q374:AG374"/>
    <mergeCell ref="H349:M349"/>
    <mergeCell ref="AJ365:AK365"/>
    <mergeCell ref="AD386:AE386"/>
    <mergeCell ref="AC380:AF380"/>
    <mergeCell ref="J395:U395"/>
    <mergeCell ref="T407:AJ407"/>
    <mergeCell ref="M365:N365"/>
    <mergeCell ref="Z441:AA441"/>
    <mergeCell ref="Q495:AK495"/>
    <mergeCell ref="Q494:AK494"/>
    <mergeCell ref="AH510:AK510"/>
    <mergeCell ref="AC507:AK507"/>
    <mergeCell ref="W476:Y476"/>
    <mergeCell ref="AH512:AK512"/>
    <mergeCell ref="D459:AF459"/>
    <mergeCell ref="N379:Q379"/>
    <mergeCell ref="N380:Q380"/>
    <mergeCell ref="V391:W391"/>
    <mergeCell ref="C566:L566"/>
    <mergeCell ref="Q563:S563"/>
    <mergeCell ref="Q559:S561"/>
    <mergeCell ref="M563:P563"/>
    <mergeCell ref="C563:L563"/>
    <mergeCell ref="W570:Y570"/>
    <mergeCell ref="T567:V567"/>
    <mergeCell ref="AH527:AK527"/>
    <mergeCell ref="AH544:AK544"/>
    <mergeCell ref="AC545:AF545"/>
    <mergeCell ref="O534:AA534"/>
    <mergeCell ref="AC537:AF537"/>
    <mergeCell ref="AH538:AK538"/>
    <mergeCell ref="Z564:AD564"/>
    <mergeCell ref="AI563:AL563"/>
    <mergeCell ref="AI564:AL564"/>
    <mergeCell ref="W564:Y564"/>
    <mergeCell ref="Q564:S564"/>
    <mergeCell ref="M562:P562"/>
    <mergeCell ref="AC529:AF529"/>
    <mergeCell ref="AH535:AK535"/>
    <mergeCell ref="C565:L565"/>
    <mergeCell ref="Q566:S566"/>
    <mergeCell ref="M565:P565"/>
    <mergeCell ref="W569:Y569"/>
    <mergeCell ref="T566:V566"/>
    <mergeCell ref="T565:V565"/>
    <mergeCell ref="Q569:S569"/>
    <mergeCell ref="Q565:S565"/>
    <mergeCell ref="B528:H550"/>
    <mergeCell ref="AH530:AK530"/>
    <mergeCell ref="M559:P561"/>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E570:AH570"/>
    <mergeCell ref="AA346:AK346"/>
    <mergeCell ref="W566:Y566"/>
    <mergeCell ref="AE566:AH566"/>
    <mergeCell ref="C562:L562"/>
    <mergeCell ref="AC541:AF541"/>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Z593:AK593"/>
    <mergeCell ref="G587:R587"/>
    <mergeCell ref="G602:R602"/>
    <mergeCell ref="Z602:AK602"/>
    <mergeCell ref="P613:R613"/>
    <mergeCell ref="Z611:AK611"/>
    <mergeCell ref="AG599:AH599"/>
    <mergeCell ref="G576:R576"/>
    <mergeCell ref="AI573:AL573"/>
    <mergeCell ref="C570:L570"/>
    <mergeCell ref="AI605:AK605"/>
    <mergeCell ref="Z597:AE597"/>
    <mergeCell ref="G597:L597"/>
    <mergeCell ref="AE572:AH572"/>
    <mergeCell ref="B728:F728"/>
    <mergeCell ref="B730:F730"/>
    <mergeCell ref="AG681:AH681"/>
    <mergeCell ref="B733:F733"/>
    <mergeCell ref="B732:F732"/>
    <mergeCell ref="B735:F735"/>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X722:AB725"/>
    <mergeCell ref="AE702:AF702"/>
    <mergeCell ref="A717:AT719"/>
    <mergeCell ref="G668:R668"/>
    <mergeCell ref="T642:V642"/>
    <mergeCell ref="G691:R691"/>
    <mergeCell ref="O731:S731"/>
    <mergeCell ref="T728:W728"/>
    <mergeCell ref="K722:N725"/>
    <mergeCell ref="T729:W729"/>
    <mergeCell ref="N697:O697"/>
    <mergeCell ref="AA696:AK696"/>
    <mergeCell ref="C836:H836"/>
    <mergeCell ref="O801:S801"/>
    <mergeCell ref="J798:N798"/>
    <mergeCell ref="G617:R617"/>
    <mergeCell ref="M636:P636"/>
    <mergeCell ref="Z613:AE613"/>
    <mergeCell ref="Z617:AK617"/>
    <mergeCell ref="N615:O615"/>
    <mergeCell ref="G722:J725"/>
    <mergeCell ref="G676:R676"/>
    <mergeCell ref="AH753:AJ753"/>
    <mergeCell ref="AH754:AJ754"/>
    <mergeCell ref="AH755:AJ755"/>
    <mergeCell ref="AH756:AJ756"/>
    <mergeCell ref="C833:H833"/>
    <mergeCell ref="G735:J735"/>
    <mergeCell ref="N681:O681"/>
    <mergeCell ref="G695:L695"/>
    <mergeCell ref="G613:L613"/>
    <mergeCell ref="H614:R614"/>
    <mergeCell ref="G618:R618"/>
    <mergeCell ref="B726:F726"/>
    <mergeCell ref="G728:J728"/>
    <mergeCell ref="B729:F729"/>
    <mergeCell ref="B761:F761"/>
    <mergeCell ref="AG836:AJ836"/>
    <mergeCell ref="Z815:AE815"/>
    <mergeCell ref="AC797:AG797"/>
    <mergeCell ref="O760:S760"/>
    <mergeCell ref="AH734:AJ734"/>
    <mergeCell ref="G621:L621"/>
    <mergeCell ref="AA614:AK614"/>
    <mergeCell ref="P824:Y824"/>
    <mergeCell ref="Z821:AE821"/>
    <mergeCell ref="C806:AN807"/>
    <mergeCell ref="J801:N801"/>
    <mergeCell ref="X801:AB801"/>
    <mergeCell ref="T791:W794"/>
    <mergeCell ref="X781:AB781"/>
    <mergeCell ref="O797:S797"/>
    <mergeCell ref="J783:N783"/>
    <mergeCell ref="AC784:AG784"/>
    <mergeCell ref="O791:S794"/>
    <mergeCell ref="B742:F742"/>
    <mergeCell ref="B736:F736"/>
    <mergeCell ref="G742:J742"/>
    <mergeCell ref="O743:S743"/>
    <mergeCell ref="T754:W754"/>
    <mergeCell ref="K755:N755"/>
    <mergeCell ref="O750:S750"/>
    <mergeCell ref="AC755:AG755"/>
    <mergeCell ref="T746:W746"/>
    <mergeCell ref="X743:AB743"/>
    <mergeCell ref="X744:AB744"/>
    <mergeCell ref="T743:W743"/>
    <mergeCell ref="T742:W742"/>
    <mergeCell ref="J787:K787"/>
    <mergeCell ref="J795:N795"/>
    <mergeCell ref="O753:S753"/>
    <mergeCell ref="K760:N760"/>
    <mergeCell ref="AK754:AO754"/>
    <mergeCell ref="AK740:AO740"/>
    <mergeCell ref="AK741:AO741"/>
    <mergeCell ref="AK742:AO742"/>
    <mergeCell ref="T802:W802"/>
    <mergeCell ref="T800:W800"/>
    <mergeCell ref="O785:S785"/>
    <mergeCell ref="X796:AB796"/>
    <mergeCell ref="O747:S747"/>
    <mergeCell ref="O744:S744"/>
    <mergeCell ref="K746:N746"/>
    <mergeCell ref="X797:AB797"/>
    <mergeCell ref="K745:N745"/>
    <mergeCell ref="X799:AB799"/>
    <mergeCell ref="T752:W752"/>
    <mergeCell ref="O755:S755"/>
    <mergeCell ref="T755:W755"/>
    <mergeCell ref="AC756:AG756"/>
    <mergeCell ref="T750:W750"/>
    <mergeCell ref="X753:AB753"/>
    <mergeCell ref="AC747:AG747"/>
    <mergeCell ref="K742:N742"/>
    <mergeCell ref="AH748:AJ748"/>
    <mergeCell ref="AC798:AG798"/>
    <mergeCell ref="AC800:AG800"/>
    <mergeCell ref="X802:AB802"/>
    <mergeCell ref="X760:AB760"/>
    <mergeCell ref="O798:S798"/>
    <mergeCell ref="C834:H834"/>
    <mergeCell ref="O737:S737"/>
    <mergeCell ref="AC836:AF836"/>
    <mergeCell ref="AG837:AJ837"/>
    <mergeCell ref="AG834:AJ834"/>
    <mergeCell ref="AG833:AJ833"/>
    <mergeCell ref="B744:F744"/>
    <mergeCell ref="O782:S782"/>
    <mergeCell ref="O802:S802"/>
    <mergeCell ref="X777:AB780"/>
    <mergeCell ref="T777:W780"/>
    <mergeCell ref="AC801:AG801"/>
    <mergeCell ref="X783:AB783"/>
    <mergeCell ref="X784:AB784"/>
    <mergeCell ref="Q835:T835"/>
    <mergeCell ref="M836:P836"/>
    <mergeCell ref="M835:P835"/>
    <mergeCell ref="J805:N805"/>
    <mergeCell ref="J803:N803"/>
    <mergeCell ref="AC782:AG782"/>
    <mergeCell ref="X785:AB785"/>
    <mergeCell ref="AC799:AG799"/>
    <mergeCell ref="J802:N802"/>
    <mergeCell ref="J797:N797"/>
    <mergeCell ref="X803:AB803"/>
    <mergeCell ref="O800:S800"/>
    <mergeCell ref="J799:N799"/>
    <mergeCell ref="X800:AB800"/>
    <mergeCell ref="U836:X836"/>
    <mergeCell ref="O805:S805"/>
    <mergeCell ref="O796:S796"/>
    <mergeCell ref="J800:N800"/>
    <mergeCell ref="J777:N780"/>
    <mergeCell ref="AG831:AJ832"/>
    <mergeCell ref="AC805:AG805"/>
    <mergeCell ref="AC795:AG795"/>
    <mergeCell ref="AC761:AG761"/>
    <mergeCell ref="O761:S761"/>
    <mergeCell ref="AC834:AF834"/>
    <mergeCell ref="AC835:AF835"/>
    <mergeCell ref="O795:S795"/>
    <mergeCell ref="Q834:T834"/>
    <mergeCell ref="Y831:AB832"/>
    <mergeCell ref="Z823:AE823"/>
    <mergeCell ref="Z816:AE816"/>
    <mergeCell ref="AC785:AG785"/>
    <mergeCell ref="O777:S780"/>
    <mergeCell ref="O799:S799"/>
    <mergeCell ref="J796:N796"/>
    <mergeCell ref="M833:P833"/>
    <mergeCell ref="Z814:AE814"/>
    <mergeCell ref="Y833:AB833"/>
    <mergeCell ref="AC833:AF833"/>
    <mergeCell ref="Z826:AE826"/>
    <mergeCell ref="U834:X834"/>
    <mergeCell ref="T784:W784"/>
    <mergeCell ref="O803:S803"/>
    <mergeCell ref="Y809:AC809"/>
    <mergeCell ref="Y808:AC808"/>
    <mergeCell ref="AC804:AG804"/>
    <mergeCell ref="AC796:AG796"/>
    <mergeCell ref="T803:W803"/>
    <mergeCell ref="Z822:AE822"/>
    <mergeCell ref="Z825:AE825"/>
    <mergeCell ref="BD911:BE911"/>
    <mergeCell ref="BD909:BE909"/>
    <mergeCell ref="AC902:AH902"/>
    <mergeCell ref="W850:AC850"/>
    <mergeCell ref="W855:AC855"/>
    <mergeCell ref="W885:AC885"/>
    <mergeCell ref="M869:V869"/>
    <mergeCell ref="W853:AC853"/>
    <mergeCell ref="M854:V854"/>
    <mergeCell ref="AC901:AH901"/>
    <mergeCell ref="BD908:BE908"/>
    <mergeCell ref="BD910:BE910"/>
    <mergeCell ref="AC895:AH895"/>
    <mergeCell ref="AA940:AF940"/>
    <mergeCell ref="AC893:AH893"/>
    <mergeCell ref="BD915:BF915"/>
    <mergeCell ref="BD914:BF914"/>
    <mergeCell ref="BD919:BE919"/>
    <mergeCell ref="BD912:BE912"/>
    <mergeCell ref="AC898:AH898"/>
    <mergeCell ref="AW927:AY927"/>
    <mergeCell ref="W860:AC860"/>
    <mergeCell ref="W862:AC862"/>
    <mergeCell ref="W883:AC883"/>
    <mergeCell ref="BD913:BE913"/>
    <mergeCell ref="W857:AC857"/>
    <mergeCell ref="M886:V886"/>
    <mergeCell ref="W878:AC878"/>
    <mergeCell ref="AE704:AI704"/>
    <mergeCell ref="K726:N726"/>
    <mergeCell ref="G726:J726"/>
    <mergeCell ref="E715:AK715"/>
    <mergeCell ref="W714:AK714"/>
    <mergeCell ref="AH757:AJ757"/>
    <mergeCell ref="U932:Z932"/>
    <mergeCell ref="B741:F741"/>
    <mergeCell ref="M887:V887"/>
    <mergeCell ref="B762:AH763"/>
    <mergeCell ref="X782:AB782"/>
    <mergeCell ref="T781:W781"/>
    <mergeCell ref="J781:N781"/>
    <mergeCell ref="O781:S781"/>
    <mergeCell ref="J784:N784"/>
    <mergeCell ref="U831:X832"/>
    <mergeCell ref="AK739:AO739"/>
    <mergeCell ref="AC735:AG735"/>
    <mergeCell ref="X732:AB732"/>
    <mergeCell ref="AC903:AH903"/>
    <mergeCell ref="Z908:AE908"/>
    <mergeCell ref="AC897:AH897"/>
    <mergeCell ref="Q837:T837"/>
    <mergeCell ref="T799:W799"/>
    <mergeCell ref="T795:W795"/>
    <mergeCell ref="T796:W796"/>
    <mergeCell ref="T797:W797"/>
    <mergeCell ref="AZ859:BA859"/>
    <mergeCell ref="X728:AB728"/>
    <mergeCell ref="AH737:AJ737"/>
    <mergeCell ref="O738:S738"/>
    <mergeCell ref="AK735:AO735"/>
    <mergeCell ref="AH732:AJ732"/>
    <mergeCell ref="AK731:AO731"/>
    <mergeCell ref="AK732:AO732"/>
    <mergeCell ref="AK733:AO733"/>
    <mergeCell ref="AK734:AO734"/>
    <mergeCell ref="T735:W735"/>
    <mergeCell ref="X731:AB731"/>
    <mergeCell ref="C845:AJ845"/>
    <mergeCell ref="W884:AC884"/>
    <mergeCell ref="T866:V866"/>
    <mergeCell ref="T868:V868"/>
    <mergeCell ref="W876:AC876"/>
    <mergeCell ref="W870:AC870"/>
    <mergeCell ref="W880:AC880"/>
    <mergeCell ref="W875:AC875"/>
    <mergeCell ref="W867:AC867"/>
    <mergeCell ref="Q831:T832"/>
    <mergeCell ref="Z817:AE817"/>
    <mergeCell ref="J857:V857"/>
    <mergeCell ref="W854:AC854"/>
    <mergeCell ref="M838:P838"/>
    <mergeCell ref="C840:L840"/>
    <mergeCell ref="W865:AC865"/>
    <mergeCell ref="M883:V883"/>
    <mergeCell ref="Y839:AB839"/>
    <mergeCell ref="W859:AC859"/>
    <mergeCell ref="W863:AC863"/>
    <mergeCell ref="M837:P837"/>
    <mergeCell ref="G736:J736"/>
    <mergeCell ref="AK738:AO738"/>
    <mergeCell ref="AC732:AG732"/>
    <mergeCell ref="CZ730:DD730"/>
    <mergeCell ref="CZ732:DD732"/>
    <mergeCell ref="CZ733:DD733"/>
    <mergeCell ref="CP736:CT736"/>
    <mergeCell ref="O735:S735"/>
    <mergeCell ref="G727:J727"/>
    <mergeCell ref="P695:R695"/>
    <mergeCell ref="R713:T713"/>
    <mergeCell ref="O739:S739"/>
    <mergeCell ref="T726:W726"/>
    <mergeCell ref="O729:S729"/>
    <mergeCell ref="K730:N730"/>
    <mergeCell ref="K731:N731"/>
    <mergeCell ref="T731:W731"/>
    <mergeCell ref="K729:N729"/>
    <mergeCell ref="AE701:AF701"/>
    <mergeCell ref="AH735:AJ735"/>
    <mergeCell ref="X733:AB733"/>
    <mergeCell ref="X729:AB729"/>
    <mergeCell ref="X735:AB735"/>
    <mergeCell ref="K728:N728"/>
    <mergeCell ref="AC727:AG727"/>
    <mergeCell ref="T738:W738"/>
    <mergeCell ref="T734:W734"/>
    <mergeCell ref="AK737:AO737"/>
    <mergeCell ref="G738:J738"/>
    <mergeCell ref="X738:AB738"/>
    <mergeCell ref="K738:N738"/>
    <mergeCell ref="K733:N733"/>
    <mergeCell ref="K735:N735"/>
    <mergeCell ref="K734:N734"/>
    <mergeCell ref="CG738:CH738"/>
    <mergeCell ref="T740:W740"/>
    <mergeCell ref="T739:W739"/>
    <mergeCell ref="N657:O657"/>
    <mergeCell ref="AH727:AJ727"/>
    <mergeCell ref="CK733:CL733"/>
    <mergeCell ref="CG741:CH741"/>
    <mergeCell ref="CI742:CJ742"/>
    <mergeCell ref="CI727:CJ727"/>
    <mergeCell ref="G687:L687"/>
    <mergeCell ref="X736:AB736"/>
    <mergeCell ref="O727:S727"/>
    <mergeCell ref="K732:N732"/>
    <mergeCell ref="AI663:AK663"/>
    <mergeCell ref="G670:R670"/>
    <mergeCell ref="AG689:AH689"/>
    <mergeCell ref="AI695:AK695"/>
    <mergeCell ref="J713:O713"/>
    <mergeCell ref="G684:R684"/>
    <mergeCell ref="O730:S730"/>
    <mergeCell ref="Z686:AK686"/>
    <mergeCell ref="H680:R680"/>
    <mergeCell ref="G667:R667"/>
    <mergeCell ref="P679:R679"/>
    <mergeCell ref="AG697:AH697"/>
    <mergeCell ref="G739:J739"/>
    <mergeCell ref="T736:W736"/>
    <mergeCell ref="G730:J730"/>
    <mergeCell ref="O726:S726"/>
    <mergeCell ref="X726:AB726"/>
    <mergeCell ref="CM728:CN728"/>
    <mergeCell ref="CI728:CJ728"/>
    <mergeCell ref="CM730:CN730"/>
    <mergeCell ref="CG728:CH728"/>
    <mergeCell ref="O722:S725"/>
    <mergeCell ref="AE703:AI703"/>
    <mergeCell ref="G732:J732"/>
    <mergeCell ref="T737:W737"/>
    <mergeCell ref="T730:W730"/>
    <mergeCell ref="K737:N737"/>
    <mergeCell ref="CI740:CJ740"/>
    <mergeCell ref="CI741:CJ741"/>
    <mergeCell ref="CP732:CT732"/>
    <mergeCell ref="CP735:CT735"/>
    <mergeCell ref="CI735:CJ735"/>
    <mergeCell ref="CZ743:DD743"/>
    <mergeCell ref="CU742:CY742"/>
    <mergeCell ref="CG736:CH736"/>
    <mergeCell ref="AC736:AG736"/>
    <mergeCell ref="AC740:AG740"/>
    <mergeCell ref="X741:AB741"/>
    <mergeCell ref="AC737:AG737"/>
    <mergeCell ref="O736:S736"/>
    <mergeCell ref="AH736:AJ736"/>
    <mergeCell ref="AC728:AG728"/>
    <mergeCell ref="CZ728:DD728"/>
    <mergeCell ref="CU729:CY729"/>
    <mergeCell ref="T727:W727"/>
    <mergeCell ref="O732:S732"/>
    <mergeCell ref="T733:W733"/>
    <mergeCell ref="O728:S728"/>
    <mergeCell ref="K727:N727"/>
    <mergeCell ref="CM744:CN744"/>
    <mergeCell ref="CI746:CJ746"/>
    <mergeCell ref="CP749:CT749"/>
    <mergeCell ref="CZ731:DD731"/>
    <mergeCell ref="CU732:CY732"/>
    <mergeCell ref="CU733:CY733"/>
    <mergeCell ref="CP738:CT738"/>
    <mergeCell ref="CU739:CY739"/>
    <mergeCell ref="CM740:CN740"/>
    <mergeCell ref="CP734:CT734"/>
    <mergeCell ref="CK740:CL740"/>
    <mergeCell ref="CM743:CN743"/>
    <mergeCell ref="CI733:CJ733"/>
    <mergeCell ref="CZ740:DD740"/>
    <mergeCell ref="CU737:CY737"/>
    <mergeCell ref="CK731:CL731"/>
    <mergeCell ref="CZ737:DD737"/>
    <mergeCell ref="CK741:CL741"/>
    <mergeCell ref="CM746:CN746"/>
    <mergeCell ref="CM742:CN742"/>
    <mergeCell ref="CM748:CN748"/>
    <mergeCell ref="DE740:DI740"/>
    <mergeCell ref="AG673:AH673"/>
    <mergeCell ref="CG749:CH749"/>
    <mergeCell ref="CU744:CY744"/>
    <mergeCell ref="CP731:CT731"/>
    <mergeCell ref="CU735:CY735"/>
    <mergeCell ref="CK732:CL732"/>
    <mergeCell ref="DE738:DI738"/>
    <mergeCell ref="CM738:CN738"/>
    <mergeCell ref="CK735:CL735"/>
    <mergeCell ref="CK743:CL743"/>
    <mergeCell ref="CP740:CT740"/>
    <mergeCell ref="CM737:CN737"/>
    <mergeCell ref="CM731:CN731"/>
    <mergeCell ref="CM733:CN733"/>
    <mergeCell ref="CK738:CL738"/>
    <mergeCell ref="CP739:CT739"/>
    <mergeCell ref="CI737:CJ737"/>
    <mergeCell ref="CP737:CT737"/>
    <mergeCell ref="CK744:CL744"/>
    <mergeCell ref="CG733:CH733"/>
    <mergeCell ref="CU738:CY738"/>
    <mergeCell ref="CK736:CL736"/>
    <mergeCell ref="CG745:CH745"/>
    <mergeCell ref="CU730:CY730"/>
    <mergeCell ref="CM727:CN727"/>
    <mergeCell ref="CM729:CN729"/>
    <mergeCell ref="W711:AK711"/>
    <mergeCell ref="CG730:CH730"/>
    <mergeCell ref="AC744:AG744"/>
    <mergeCell ref="CG737:CH737"/>
    <mergeCell ref="CG731:CH731"/>
    <mergeCell ref="M637:P637"/>
    <mergeCell ref="W632:Y634"/>
    <mergeCell ref="W636:Y636"/>
    <mergeCell ref="P671:R671"/>
    <mergeCell ref="AO648:AS648"/>
    <mergeCell ref="W644:Y644"/>
    <mergeCell ref="M644:P644"/>
    <mergeCell ref="AA672:AK672"/>
    <mergeCell ref="T643:V643"/>
    <mergeCell ref="T644:V644"/>
    <mergeCell ref="T645:V645"/>
    <mergeCell ref="AO640:AS640"/>
    <mergeCell ref="Z643:AB643"/>
    <mergeCell ref="AK632:AN634"/>
    <mergeCell ref="AC637:AE637"/>
    <mergeCell ref="M632:P634"/>
    <mergeCell ref="AF637:AJ637"/>
    <mergeCell ref="W637:Y637"/>
    <mergeCell ref="T637:V637"/>
    <mergeCell ref="AO638:AS638"/>
    <mergeCell ref="Q638:S638"/>
    <mergeCell ref="N665:O665"/>
    <mergeCell ref="Q640:S640"/>
    <mergeCell ref="AF642:AJ642"/>
    <mergeCell ref="W645:Y645"/>
    <mergeCell ref="AG665:AH665"/>
    <mergeCell ref="Z642:AB642"/>
    <mergeCell ref="M646:P646"/>
    <mergeCell ref="W646:Y646"/>
    <mergeCell ref="Z662:AK662"/>
    <mergeCell ref="P655:R655"/>
    <mergeCell ref="AI655:AK655"/>
    <mergeCell ref="G662:R662"/>
    <mergeCell ref="G661:R661"/>
    <mergeCell ref="T641:V641"/>
    <mergeCell ref="G675:R675"/>
    <mergeCell ref="G655:L655"/>
    <mergeCell ref="AO635:AS635"/>
    <mergeCell ref="A625:AT626"/>
    <mergeCell ref="B632:L634"/>
    <mergeCell ref="CK729:CL729"/>
    <mergeCell ref="CM726:CN726"/>
    <mergeCell ref="AK638:AN638"/>
    <mergeCell ref="G611:R611"/>
    <mergeCell ref="G652:R652"/>
    <mergeCell ref="P663:R663"/>
    <mergeCell ref="W641:Y641"/>
    <mergeCell ref="Z638:AB638"/>
    <mergeCell ref="T638:V638"/>
    <mergeCell ref="T639:V639"/>
    <mergeCell ref="AC636:AE636"/>
    <mergeCell ref="C637:L637"/>
    <mergeCell ref="Z663:AE663"/>
    <mergeCell ref="C638:L638"/>
    <mergeCell ref="Z621:AE621"/>
    <mergeCell ref="N623:O623"/>
    <mergeCell ref="H622:R622"/>
    <mergeCell ref="G678:R678"/>
    <mergeCell ref="Z677:AK677"/>
    <mergeCell ref="AF644:AJ644"/>
    <mergeCell ref="AF645:AJ645"/>
    <mergeCell ref="AC644:AE644"/>
    <mergeCell ref="Z655:AE655"/>
    <mergeCell ref="AK644:AN644"/>
    <mergeCell ref="Z676:AK676"/>
    <mergeCell ref="AA680:AK680"/>
    <mergeCell ref="T640:V640"/>
    <mergeCell ref="M638:P638"/>
    <mergeCell ref="M639:P639"/>
    <mergeCell ref="Q639:S639"/>
    <mergeCell ref="C639:L639"/>
    <mergeCell ref="M641:P641"/>
    <mergeCell ref="G683:R683"/>
    <mergeCell ref="EE726:EI726"/>
    <mergeCell ref="DX676:EB676"/>
    <mergeCell ref="Z645:AB645"/>
    <mergeCell ref="Z646:AB646"/>
    <mergeCell ref="EC645:EG645"/>
    <mergeCell ref="EH645:EL645"/>
    <mergeCell ref="C640:L640"/>
    <mergeCell ref="M640:P640"/>
    <mergeCell ref="Q641:S641"/>
    <mergeCell ref="DX654:EB654"/>
    <mergeCell ref="EC654:EG654"/>
    <mergeCell ref="DX656:EB656"/>
    <mergeCell ref="EH660:EL660"/>
    <mergeCell ref="DX678:EB678"/>
    <mergeCell ref="DX653:EB653"/>
    <mergeCell ref="AK641:AN641"/>
    <mergeCell ref="C642:L642"/>
    <mergeCell ref="Q646:S646"/>
    <mergeCell ref="Z668:AK668"/>
    <mergeCell ref="G671:L671"/>
    <mergeCell ref="G669:R669"/>
    <mergeCell ref="Z652:AK652"/>
    <mergeCell ref="C645:L645"/>
    <mergeCell ref="Z640:AB640"/>
    <mergeCell ref="Z685:AK685"/>
    <mergeCell ref="G679:L679"/>
    <mergeCell ref="DJ729:DN729"/>
    <mergeCell ref="G692:R692"/>
    <mergeCell ref="DO725:DS725"/>
    <mergeCell ref="CZ729:DD729"/>
    <mergeCell ref="T646:V646"/>
    <mergeCell ref="DJ727:DN727"/>
    <mergeCell ref="CU725:CY725"/>
    <mergeCell ref="AC643:AE643"/>
    <mergeCell ref="W643:Y643"/>
    <mergeCell ref="CG727:CH727"/>
    <mergeCell ref="CI729:CJ729"/>
    <mergeCell ref="AO644:AS644"/>
    <mergeCell ref="CZ726:DD726"/>
    <mergeCell ref="AC729:AG729"/>
    <mergeCell ref="AH728:AJ728"/>
    <mergeCell ref="AH729:AJ729"/>
    <mergeCell ref="AK727:AO727"/>
    <mergeCell ref="AO649:AS649"/>
    <mergeCell ref="Z659:AK659"/>
    <mergeCell ref="AK646:AN646"/>
    <mergeCell ref="CM725:CN725"/>
    <mergeCell ref="G663:L663"/>
    <mergeCell ref="H664:R664"/>
    <mergeCell ref="AG657:AH657"/>
    <mergeCell ref="H696:R696"/>
    <mergeCell ref="AE707:AI707"/>
    <mergeCell ref="G653:R653"/>
    <mergeCell ref="AO645:AS645"/>
    <mergeCell ref="G677:R677"/>
    <mergeCell ref="AM570:AS570"/>
    <mergeCell ref="AO639:AS639"/>
    <mergeCell ref="AI671:AK671"/>
    <mergeCell ref="B649:AN649"/>
    <mergeCell ref="G651:R651"/>
    <mergeCell ref="M642:P642"/>
    <mergeCell ref="Z669:AK669"/>
    <mergeCell ref="AF639:AJ639"/>
    <mergeCell ref="Z637:AB637"/>
    <mergeCell ref="G609:R609"/>
    <mergeCell ref="G601:R601"/>
    <mergeCell ref="G577:R577"/>
    <mergeCell ref="H590:R590"/>
    <mergeCell ref="G589:L589"/>
    <mergeCell ref="Z612:AK612"/>
    <mergeCell ref="C571:L571"/>
    <mergeCell ref="AE573:AH573"/>
    <mergeCell ref="G595:R595"/>
    <mergeCell ref="G586:R586"/>
    <mergeCell ref="Z576:AK576"/>
    <mergeCell ref="Z579:AK579"/>
    <mergeCell ref="AI572:AL572"/>
    <mergeCell ref="AF641:AJ641"/>
    <mergeCell ref="AF643:AJ643"/>
    <mergeCell ref="AO643:AS643"/>
    <mergeCell ref="Z588:AK588"/>
    <mergeCell ref="Z603:AK603"/>
    <mergeCell ref="Z586:AK586"/>
    <mergeCell ref="Z580:AE580"/>
    <mergeCell ref="G605:L605"/>
    <mergeCell ref="H598:R598"/>
    <mergeCell ref="T636:V636"/>
    <mergeCell ref="Z605:AE605"/>
    <mergeCell ref="T571:V571"/>
    <mergeCell ref="Z572:AD572"/>
    <mergeCell ref="Z573:AD573"/>
    <mergeCell ref="M569:P569"/>
    <mergeCell ref="C573:L573"/>
    <mergeCell ref="C636:L636"/>
    <mergeCell ref="N607:O607"/>
    <mergeCell ref="AA598:AK598"/>
    <mergeCell ref="AI597:AK597"/>
    <mergeCell ref="Z604:AK604"/>
    <mergeCell ref="H606:R606"/>
    <mergeCell ref="N591:O591"/>
    <mergeCell ref="P605:R605"/>
    <mergeCell ref="Q570:S570"/>
    <mergeCell ref="G593:R593"/>
    <mergeCell ref="AG583:AH583"/>
    <mergeCell ref="Z587:AK587"/>
    <mergeCell ref="AA581:AK581"/>
    <mergeCell ref="Z578:AK578"/>
    <mergeCell ref="Z609:AK609"/>
    <mergeCell ref="G596:R596"/>
    <mergeCell ref="Q632:S634"/>
    <mergeCell ref="M573:P573"/>
    <mergeCell ref="Z619:AK619"/>
    <mergeCell ref="AG591:AH591"/>
    <mergeCell ref="AA606:AK606"/>
    <mergeCell ref="Z618:AK618"/>
    <mergeCell ref="AF636:AJ636"/>
    <mergeCell ref="T573:V573"/>
    <mergeCell ref="M635:P635"/>
    <mergeCell ref="DU738:DY738"/>
    <mergeCell ref="DZ736:ED736"/>
    <mergeCell ref="EE732:EI732"/>
    <mergeCell ref="AK736:AO73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CM736:CN736"/>
    <mergeCell ref="CU734:CY734"/>
    <mergeCell ref="CZ734:DD734"/>
    <mergeCell ref="DJ731:DN731"/>
    <mergeCell ref="DJ732:DN732"/>
    <mergeCell ref="DE728:DI728"/>
    <mergeCell ref="DU734:DY734"/>
    <mergeCell ref="DU728:DY728"/>
    <mergeCell ref="EE731:EI731"/>
    <mergeCell ref="DU730:DY730"/>
    <mergeCell ref="DE730:DI730"/>
    <mergeCell ref="AC640:AE640"/>
    <mergeCell ref="CI725:CJ725"/>
    <mergeCell ref="AA688:AK688"/>
    <mergeCell ref="Z670:AK670"/>
    <mergeCell ref="CP727:CT727"/>
    <mergeCell ref="AK639:AN639"/>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AK722:AO725"/>
    <mergeCell ref="AK726:AO726"/>
    <mergeCell ref="Z661:AK661"/>
    <mergeCell ref="DO728:DS728"/>
    <mergeCell ref="DE725:DI725"/>
    <mergeCell ref="CU727:CY727"/>
    <mergeCell ref="CG726:CH726"/>
    <mergeCell ref="EE730:EI730"/>
    <mergeCell ref="DZ726:ED726"/>
    <mergeCell ref="DZ740:ED740"/>
    <mergeCell ref="EE740:EI740"/>
    <mergeCell ref="EJ740:EN740"/>
    <mergeCell ref="DU739:DY739"/>
    <mergeCell ref="EO739:ES739"/>
    <mergeCell ref="DU744:DY744"/>
    <mergeCell ref="ET742:EX742"/>
    <mergeCell ref="ET743:EX743"/>
    <mergeCell ref="ET739:EX739"/>
    <mergeCell ref="EO753:ES753"/>
    <mergeCell ref="DU749:DY749"/>
    <mergeCell ref="DZ749:ED749"/>
    <mergeCell ref="DO755:DS755"/>
    <mergeCell ref="DU753:DY753"/>
    <mergeCell ref="DZ753:ED753"/>
    <mergeCell ref="EJ753:EN753"/>
    <mergeCell ref="DU750:DY750"/>
    <mergeCell ref="DZ750:ED750"/>
    <mergeCell ref="DU742:DY742"/>
    <mergeCell ref="DU741:DY741"/>
    <mergeCell ref="EE742:EI742"/>
    <mergeCell ref="ET746:EX746"/>
    <mergeCell ref="DZ742:ED742"/>
    <mergeCell ref="DO753:DS753"/>
    <mergeCell ref="DO750:DS750"/>
    <mergeCell ref="EE745:EI745"/>
    <mergeCell ref="EE746:EI746"/>
    <mergeCell ref="EJ746:EN746"/>
    <mergeCell ref="EO747:ES747"/>
    <mergeCell ref="ET747:EX747"/>
    <mergeCell ref="EJ748:EN748"/>
    <mergeCell ref="EO746:ES746"/>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DE732:DI732"/>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834:P834"/>
    <mergeCell ref="M880:V880"/>
    <mergeCell ref="Q833:T833"/>
    <mergeCell ref="W879:AC879"/>
    <mergeCell ref="AC894:AH894"/>
    <mergeCell ref="M885:V885"/>
    <mergeCell ref="W877:AC877"/>
    <mergeCell ref="W881:AC881"/>
    <mergeCell ref="Q839:T839"/>
    <mergeCell ref="M884:V884"/>
    <mergeCell ref="AA937:AF937"/>
    <mergeCell ref="U953:Z953"/>
    <mergeCell ref="AG838:AJ838"/>
    <mergeCell ref="U840:X840"/>
    <mergeCell ref="M840:P840"/>
    <mergeCell ref="Q838:T838"/>
    <mergeCell ref="AG839:AJ839"/>
    <mergeCell ref="F938:T938"/>
    <mergeCell ref="AC896:AH896"/>
    <mergeCell ref="U952:Z952"/>
    <mergeCell ref="U950:Z950"/>
    <mergeCell ref="U948:Z948"/>
    <mergeCell ref="U949:Z949"/>
    <mergeCell ref="C837:H837"/>
    <mergeCell ref="AA952:AF952"/>
    <mergeCell ref="AA947:AF947"/>
    <mergeCell ref="AA939:AF939"/>
    <mergeCell ref="F946:T946"/>
    <mergeCell ref="U946:Z946"/>
    <mergeCell ref="AA946:AF946"/>
    <mergeCell ref="E894:AB894"/>
    <mergeCell ref="U941:Z941"/>
    <mergeCell ref="AC904:AH904"/>
    <mergeCell ref="AA942:AF942"/>
    <mergeCell ref="Z909:AE909"/>
    <mergeCell ref="W886:AC886"/>
    <mergeCell ref="AA950:AF950"/>
    <mergeCell ref="AA938:AF938"/>
    <mergeCell ref="U939:Z939"/>
    <mergeCell ref="F947:T947"/>
    <mergeCell ref="AA941:AF941"/>
    <mergeCell ref="U929:Z929"/>
    <mergeCell ref="C904:AB904"/>
    <mergeCell ref="F935:T935"/>
    <mergeCell ref="F936:T936"/>
    <mergeCell ref="U958:Z958"/>
    <mergeCell ref="C838:H838"/>
    <mergeCell ref="F839:L839"/>
    <mergeCell ref="U835:X835"/>
    <mergeCell ref="C835:H835"/>
    <mergeCell ref="I958:T958"/>
    <mergeCell ref="U947:Z947"/>
    <mergeCell ref="Y835:AB835"/>
    <mergeCell ref="AG835:AJ835"/>
    <mergeCell ref="W869:AC869"/>
    <mergeCell ref="U837:X837"/>
    <mergeCell ref="AC899:AH899"/>
    <mergeCell ref="W887:AC887"/>
    <mergeCell ref="U940:Z940"/>
    <mergeCell ref="F924:T924"/>
    <mergeCell ref="AA935:AF935"/>
    <mergeCell ref="U936:Z936"/>
    <mergeCell ref="AA936:AF936"/>
    <mergeCell ref="Q836:T836"/>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B737:F737"/>
    <mergeCell ref="B739:F739"/>
    <mergeCell ref="B738:F738"/>
    <mergeCell ref="X751:AB751"/>
    <mergeCell ref="X752:AB752"/>
    <mergeCell ref="AH751:AJ751"/>
    <mergeCell ref="AH752:AJ752"/>
    <mergeCell ref="O748:S748"/>
    <mergeCell ref="K749:N749"/>
    <mergeCell ref="X748:AB748"/>
    <mergeCell ref="AC741:AG741"/>
    <mergeCell ref="X739:AB739"/>
    <mergeCell ref="AH740:AJ740"/>
    <mergeCell ref="O745:S745"/>
    <mergeCell ref="AC738:AG738"/>
    <mergeCell ref="K748:N748"/>
    <mergeCell ref="AC746:AG746"/>
    <mergeCell ref="G747:J747"/>
    <mergeCell ref="X749:AB749"/>
    <mergeCell ref="AC739:AG739"/>
    <mergeCell ref="O740:S740"/>
    <mergeCell ref="G745:J745"/>
    <mergeCell ref="G743:J743"/>
    <mergeCell ref="K739:N739"/>
    <mergeCell ref="X740:AB740"/>
    <mergeCell ref="O741:S741"/>
    <mergeCell ref="AH741:AJ741"/>
    <mergeCell ref="G741:J741"/>
    <mergeCell ref="T749:W749"/>
    <mergeCell ref="W851:AC851"/>
    <mergeCell ref="F941:T941"/>
    <mergeCell ref="AA948:AF948"/>
    <mergeCell ref="AA949:AF949"/>
    <mergeCell ref="W861:AC861"/>
    <mergeCell ref="M964:S964"/>
    <mergeCell ref="AA945:AF945"/>
    <mergeCell ref="K751:N751"/>
    <mergeCell ref="AH761:AJ761"/>
    <mergeCell ref="AK753:AO753"/>
    <mergeCell ref="AH749:AJ749"/>
    <mergeCell ref="AK748:AO748"/>
    <mergeCell ref="AK749:AO749"/>
    <mergeCell ref="AK760:AO760"/>
    <mergeCell ref="T744:W744"/>
    <mergeCell ref="AC748:AG748"/>
    <mergeCell ref="AC749:AG749"/>
    <mergeCell ref="AC745:AG745"/>
    <mergeCell ref="AC750:AG750"/>
    <mergeCell ref="AC751:AG751"/>
    <mergeCell ref="AC752:AG752"/>
    <mergeCell ref="AC753:AG753"/>
    <mergeCell ref="AC754:AG754"/>
    <mergeCell ref="AA951:AF951"/>
    <mergeCell ref="C901:AB901"/>
    <mergeCell ref="U933:Z933"/>
    <mergeCell ref="U942:Z942"/>
    <mergeCell ref="U943:Z943"/>
    <mergeCell ref="F939:T939"/>
    <mergeCell ref="F940:T940"/>
    <mergeCell ref="U945:Z945"/>
    <mergeCell ref="F949:T949"/>
    <mergeCell ref="O758:S758"/>
    <mergeCell ref="K753:N753"/>
    <mergeCell ref="T748:W748"/>
    <mergeCell ref="G749:J749"/>
    <mergeCell ref="D994:Q994"/>
    <mergeCell ref="AB994:AI994"/>
    <mergeCell ref="K759:N759"/>
    <mergeCell ref="O759:S759"/>
    <mergeCell ref="T982:Z982"/>
    <mergeCell ref="I956:T956"/>
    <mergeCell ref="AK746:AO746"/>
    <mergeCell ref="U955:Z955"/>
    <mergeCell ref="F955:H955"/>
    <mergeCell ref="B745:F745"/>
    <mergeCell ref="AE965:AK965"/>
    <mergeCell ref="P954:T954"/>
    <mergeCell ref="F953:T953"/>
    <mergeCell ref="AH759:AJ759"/>
    <mergeCell ref="K754:N754"/>
    <mergeCell ref="B760:F760"/>
    <mergeCell ref="B759:F759"/>
    <mergeCell ref="B750:F750"/>
    <mergeCell ref="B751:F751"/>
    <mergeCell ref="G746:J746"/>
    <mergeCell ref="O746:S746"/>
    <mergeCell ref="T747:W747"/>
    <mergeCell ref="AG764:AJ764"/>
    <mergeCell ref="O784:S784"/>
    <mergeCell ref="F951:T951"/>
    <mergeCell ref="U951:Z951"/>
    <mergeCell ref="AA957:AF957"/>
    <mergeCell ref="AA953:AF9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1001:AI1001"/>
    <mergeCell ref="D1038:AE1038"/>
    <mergeCell ref="B1000:AA1000"/>
    <mergeCell ref="D1010:AE1010"/>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M971:S971"/>
    <mergeCell ref="AA977:AG977"/>
    <mergeCell ref="AE964:AK964"/>
    <mergeCell ref="I959:T959"/>
    <mergeCell ref="D1004:AE1007"/>
    <mergeCell ref="F984:L984"/>
    <mergeCell ref="AB999:AI999"/>
    <mergeCell ref="D1003:AE1003"/>
    <mergeCell ref="D1009:AE1009"/>
    <mergeCell ref="AA976:AG976"/>
    <mergeCell ref="F937:T937"/>
    <mergeCell ref="U935:Z935"/>
    <mergeCell ref="M981:S981"/>
    <mergeCell ref="AE970:AK970"/>
    <mergeCell ref="M976:S976"/>
    <mergeCell ref="M977:S977"/>
    <mergeCell ref="AG1025:AH1025"/>
    <mergeCell ref="AG1029:AH1029"/>
    <mergeCell ref="D1025:AE1025"/>
    <mergeCell ref="D1017:AE1019"/>
    <mergeCell ref="AE967:AK967"/>
    <mergeCell ref="F948:T948"/>
    <mergeCell ref="AB997:AI997"/>
    <mergeCell ref="R995:AA995"/>
    <mergeCell ref="M968:S968"/>
    <mergeCell ref="J966:S966"/>
    <mergeCell ref="AE968:AK968"/>
    <mergeCell ref="I957:T957"/>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AJ1045:AQ1049"/>
    <mergeCell ref="D1050:AE1050"/>
    <mergeCell ref="D1051:AE1053"/>
    <mergeCell ref="AB996:AI996"/>
    <mergeCell ref="D996:Q996"/>
    <mergeCell ref="R998:AA998"/>
    <mergeCell ref="AJ998:AQ998"/>
    <mergeCell ref="J1033:AE1033"/>
    <mergeCell ref="AJ1001:AQ1001"/>
    <mergeCell ref="AJ1002:AQ1002"/>
    <mergeCell ref="AG1022:AH1022"/>
    <mergeCell ref="D1042:AE1044"/>
    <mergeCell ref="D1029:AE1030"/>
    <mergeCell ref="AB1000:AI1000"/>
    <mergeCell ref="D1034:AE1034"/>
    <mergeCell ref="AF1035:AI1035"/>
    <mergeCell ref="AF1030:AI1031"/>
    <mergeCell ref="AJ1050:AQ1053"/>
    <mergeCell ref="FT729:FX729"/>
    <mergeCell ref="O983:P983"/>
    <mergeCell ref="FJ733:FN733"/>
    <mergeCell ref="D1008:AE1008"/>
    <mergeCell ref="R996:AA996"/>
    <mergeCell ref="T722:W725"/>
    <mergeCell ref="FT758:FX758"/>
    <mergeCell ref="FY758:GC758"/>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FT736:FX736"/>
    <mergeCell ref="FY734:GC734"/>
    <mergeCell ref="EZ735:FD735"/>
    <mergeCell ref="EZ749:FD749"/>
    <mergeCell ref="FE749:FI749"/>
    <mergeCell ref="FY737:GC737"/>
    <mergeCell ref="FJ744:FN744"/>
    <mergeCell ref="FJ748:FN748"/>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J729:FN729"/>
    <mergeCell ref="FO729:FS729"/>
    <mergeCell ref="FJ738:FN738"/>
    <mergeCell ref="FY736:GC736"/>
    <mergeCell ref="FE737:FI737"/>
    <mergeCell ref="FJ737:FN737"/>
    <mergeCell ref="FO737:FS737"/>
    <mergeCell ref="FT737:FX737"/>
    <mergeCell ref="EZ747:FD747"/>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EZ744:FD744"/>
    <mergeCell ref="FE744:FI744"/>
    <mergeCell ref="FY735:GC735"/>
    <mergeCell ref="FE735:FI735"/>
    <mergeCell ref="FJ735:FN735"/>
    <mergeCell ref="FO735:FS735"/>
    <mergeCell ref="FT735:FX735"/>
    <mergeCell ref="FJ734:FN734"/>
    <mergeCell ref="FO734:FS734"/>
    <mergeCell ref="FT734:FX734"/>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T759:FX759"/>
    <mergeCell ref="FE754:FI754"/>
    <mergeCell ref="FJ754:FN754"/>
    <mergeCell ref="FO754:FS754"/>
    <mergeCell ref="FT750:FX750"/>
    <mergeCell ref="FY755:GC755"/>
    <mergeCell ref="FT756:FX756"/>
    <mergeCell ref="FJ743:FN743"/>
    <mergeCell ref="FY753:GC753"/>
    <mergeCell ref="EZ754:FD754"/>
    <mergeCell ref="FY749:GC749"/>
    <mergeCell ref="EZ750:FD750"/>
    <mergeCell ref="FE751:FI751"/>
    <mergeCell ref="FJ751:FN751"/>
    <mergeCell ref="FO751:FS751"/>
    <mergeCell ref="FT751:FX751"/>
    <mergeCell ref="FO759:FS759"/>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Y756:GC75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J742:FN742"/>
    <mergeCell ref="FO742:FS742"/>
    <mergeCell ref="FY745:GC745"/>
    <mergeCell ref="FT743:FX743"/>
    <mergeCell ref="FY743:GC743"/>
    <mergeCell ref="FO738:FS738"/>
    <mergeCell ref="FT738:FX738"/>
    <mergeCell ref="FO740:FS740"/>
    <mergeCell ref="FT740:FX740"/>
    <mergeCell ref="FY740:GC740"/>
    <mergeCell ref="FO744:FS744"/>
    <mergeCell ref="FT744:FX744"/>
    <mergeCell ref="FE741:FI741"/>
    <mergeCell ref="FO743:FS743"/>
    <mergeCell ref="ET729:EX729"/>
    <mergeCell ref="EE728:EI728"/>
    <mergeCell ref="EJ741:EN741"/>
    <mergeCell ref="DZ737:ED737"/>
    <mergeCell ref="ET735:EX735"/>
    <mergeCell ref="EZ740:FD740"/>
    <mergeCell ref="EE743:EI743"/>
    <mergeCell ref="EJ742:EN742"/>
    <mergeCell ref="EE741:EI741"/>
    <mergeCell ref="ET740:EX740"/>
    <mergeCell ref="EE736:EI736"/>
    <mergeCell ref="EJ736:EN736"/>
    <mergeCell ref="EO735:ES735"/>
    <mergeCell ref="EJ732:EN732"/>
    <mergeCell ref="EJ738:EN738"/>
    <mergeCell ref="FJ739:FN739"/>
    <mergeCell ref="FO739:FS739"/>
    <mergeCell ref="ET741:EX741"/>
    <mergeCell ref="EO741:ES741"/>
    <mergeCell ref="EO742:ES742"/>
    <mergeCell ref="FO728:FS728"/>
    <mergeCell ref="EZ728:FD728"/>
    <mergeCell ref="EE737:EI737"/>
    <mergeCell ref="DU737:DY737"/>
    <mergeCell ref="DZ732:ED732"/>
    <mergeCell ref="EZ737:FD737"/>
    <mergeCell ref="EE735:EI735"/>
    <mergeCell ref="FE728:FI728"/>
    <mergeCell ref="DZ739:ED739"/>
    <mergeCell ref="EE739:EI739"/>
    <mergeCell ref="EJ739:EN739"/>
    <mergeCell ref="DU740:DY740"/>
    <mergeCell ref="DZ734:ED734"/>
    <mergeCell ref="DU736:DY736"/>
    <mergeCell ref="EO738:ES738"/>
    <mergeCell ref="ET738:EX738"/>
    <mergeCell ref="EO734:ES734"/>
    <mergeCell ref="ET734:EX734"/>
    <mergeCell ref="DX648:EB648"/>
    <mergeCell ref="DX660:EB660"/>
    <mergeCell ref="EH654:EL654"/>
    <mergeCell ref="EM675:EQ675"/>
    <mergeCell ref="ER675:EV675"/>
    <mergeCell ref="ER651:EV651"/>
    <mergeCell ref="ER648:EV648"/>
    <mergeCell ref="EW655:FA655"/>
    <mergeCell ref="EW658:FA658"/>
    <mergeCell ref="EW656:FA656"/>
    <mergeCell ref="DX659:EB659"/>
    <mergeCell ref="EW660:FA660"/>
    <mergeCell ref="EZ739:FD739"/>
    <mergeCell ref="FE739:FI739"/>
    <mergeCell ref="EO736:ES736"/>
    <mergeCell ref="ET736:EX736"/>
    <mergeCell ref="DZ728:ED728"/>
    <mergeCell ref="FJ728:FN728"/>
    <mergeCell ref="EM669:EQ669"/>
    <mergeCell ref="ER674:EV674"/>
    <mergeCell ref="DX663:EB663"/>
    <mergeCell ref="DX664:EB664"/>
    <mergeCell ref="EC664:EG664"/>
    <mergeCell ref="EO726:ES726"/>
    <mergeCell ref="DZ731:ED731"/>
    <mergeCell ref="EE727:EI727"/>
    <mergeCell ref="EC676:EG676"/>
    <mergeCell ref="EM671:EQ671"/>
    <mergeCell ref="ER671:EV671"/>
    <mergeCell ref="ER662:EV662"/>
    <mergeCell ref="EO731:ES731"/>
    <mergeCell ref="EJ731:EN731"/>
    <mergeCell ref="EH661:EL661"/>
    <mergeCell ref="ER678:EV678"/>
    <mergeCell ref="EC667:EG667"/>
    <mergeCell ref="ER667:EV667"/>
    <mergeCell ref="DX668:EB668"/>
    <mergeCell ref="ER663:EV663"/>
    <mergeCell ref="EC668:EG668"/>
    <mergeCell ref="DX671:EB671"/>
    <mergeCell ref="EC671:EG671"/>
    <mergeCell ref="EH671:EL671"/>
    <mergeCell ref="DX661:EB661"/>
    <mergeCell ref="DX662:EB662"/>
    <mergeCell ref="EZ725:FD725"/>
    <mergeCell ref="FE725:FI725"/>
    <mergeCell ref="FJ725:FN725"/>
    <mergeCell ref="EJ728:EN728"/>
    <mergeCell ref="EW675:FA675"/>
    <mergeCell ref="EW646:FA646"/>
    <mergeCell ref="ER656:EV656"/>
    <mergeCell ref="ER655:EV655"/>
    <mergeCell ref="EH653:EL653"/>
    <mergeCell ref="EM653:EQ653"/>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EH659:EL659"/>
    <mergeCell ref="DX677:EB677"/>
    <mergeCell ref="DX672:EB672"/>
    <mergeCell ref="EO729:ES729"/>
    <mergeCell ref="ER668:EV668"/>
    <mergeCell ref="EH674:EL674"/>
    <mergeCell ref="EC662:EG662"/>
    <mergeCell ref="EH662:EL662"/>
    <mergeCell ref="EH676:EL676"/>
    <mergeCell ref="DX665:EB665"/>
    <mergeCell ref="EC665:EG665"/>
    <mergeCell ref="EM678:EQ678"/>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H651:EL651"/>
    <mergeCell ref="EC660:EG660"/>
    <mergeCell ref="EC655:EG655"/>
    <mergeCell ref="ER649:EV649"/>
    <mergeCell ref="EH649:EL649"/>
    <mergeCell ref="EW652:FA652"/>
    <mergeCell ref="EC652:EG652"/>
    <mergeCell ref="EH652:EL652"/>
    <mergeCell ref="EW647:FA647"/>
    <mergeCell ref="EC648:EG648"/>
    <mergeCell ref="EW648:FA648"/>
    <mergeCell ref="FO725:FS725"/>
    <mergeCell ref="EW678:FA678"/>
    <mergeCell ref="EW664:FA664"/>
    <mergeCell ref="ER658:EV658"/>
    <mergeCell ref="EM658:EQ658"/>
    <mergeCell ref="ET726:EX726"/>
    <mergeCell ref="ER647:EV647"/>
    <mergeCell ref="EM649:EQ649"/>
    <mergeCell ref="EH656:EL656"/>
    <mergeCell ref="EH658:EL658"/>
    <mergeCell ref="EC678:EG678"/>
    <mergeCell ref="EH678:EL678"/>
    <mergeCell ref="ER664:EV664"/>
    <mergeCell ref="EC677:EG677"/>
    <mergeCell ref="EH677:EL677"/>
    <mergeCell ref="EM677:EQ677"/>
    <mergeCell ref="EE725:EI725"/>
    <mergeCell ref="EH650:EL650"/>
    <mergeCell ref="EM650:EQ650"/>
    <mergeCell ref="ER650:EV650"/>
    <mergeCell ref="EC661:EG661"/>
    <mergeCell ref="EC659:EG659"/>
    <mergeCell ref="EM676:EQ676"/>
    <mergeCell ref="EM672:EQ672"/>
    <mergeCell ref="EM657:EQ657"/>
    <mergeCell ref="EM662:EQ662"/>
    <mergeCell ref="ER672:EV672"/>
    <mergeCell ref="EC675:EG675"/>
    <mergeCell ref="EH675:EL675"/>
    <mergeCell ref="EM674:EQ674"/>
    <mergeCell ref="EW649:FA649"/>
    <mergeCell ref="ER677:EV677"/>
    <mergeCell ref="ER676:EV676"/>
    <mergeCell ref="EW676:FA676"/>
    <mergeCell ref="EW672:FA672"/>
    <mergeCell ref="EW659:FA659"/>
    <mergeCell ref="EW657:FA657"/>
    <mergeCell ref="DX657:EB657"/>
    <mergeCell ref="DU727:DY727"/>
    <mergeCell ref="EO730:ES730"/>
    <mergeCell ref="EO725:ES725"/>
    <mergeCell ref="EO728:ES728"/>
    <mergeCell ref="EW667:FA667"/>
    <mergeCell ref="EW670:FA670"/>
    <mergeCell ref="EM651:EQ651"/>
    <mergeCell ref="EC656:EG656"/>
    <mergeCell ref="EH665:EL665"/>
    <mergeCell ref="EM665:EQ665"/>
    <mergeCell ref="ET725:EX725"/>
    <mergeCell ref="DX655:EB655"/>
    <mergeCell ref="ER670:EV670"/>
    <mergeCell ref="DU729:DY729"/>
    <mergeCell ref="EE729:EI729"/>
    <mergeCell ref="EJ729:EN729"/>
    <mergeCell ref="EM664:EQ664"/>
    <mergeCell ref="EJ725:EN725"/>
    <mergeCell ref="EW671:FA671"/>
    <mergeCell ref="EZ729:FD729"/>
    <mergeCell ref="DZ735:ED735"/>
    <mergeCell ref="DX652:EB652"/>
    <mergeCell ref="DX650:EB650"/>
    <mergeCell ref="EW674:FA674"/>
    <mergeCell ref="EW662:FA662"/>
    <mergeCell ref="ER669:EV669"/>
    <mergeCell ref="EZ761:FD761"/>
    <mergeCell ref="DX669:EB669"/>
    <mergeCell ref="EE760:EI760"/>
    <mergeCell ref="DU746:DY746"/>
    <mergeCell ref="DE782:DI782"/>
    <mergeCell ref="ER665:EV665"/>
    <mergeCell ref="EW665:FA665"/>
    <mergeCell ref="EH667:EL667"/>
    <mergeCell ref="EC669:EG669"/>
    <mergeCell ref="EH669:EL669"/>
    <mergeCell ref="DX649:EB649"/>
    <mergeCell ref="ER657:EV657"/>
    <mergeCell ref="DJ728:DN728"/>
    <mergeCell ref="DJ725:DN725"/>
    <mergeCell ref="DJ730:DN730"/>
    <mergeCell ref="DE729:DI729"/>
    <mergeCell ref="DE731:DI731"/>
    <mergeCell ref="EW677:FA677"/>
    <mergeCell ref="DO729:DS729"/>
    <mergeCell ref="EZ734:FD734"/>
    <mergeCell ref="DO738:DS738"/>
    <mergeCell ref="DO739:DS739"/>
    <mergeCell ref="DO735:DS735"/>
    <mergeCell ref="DO736:DS736"/>
    <mergeCell ref="DO731:DS731"/>
    <mergeCell ref="DO732:DS732"/>
    <mergeCell ref="DO740:DS740"/>
    <mergeCell ref="DO730:DS730"/>
    <mergeCell ref="EJ733:EN733"/>
    <mergeCell ref="ET731:EX731"/>
    <mergeCell ref="EM656:EQ656"/>
    <mergeCell ref="EH663:EL663"/>
    <mergeCell ref="EM663:EQ663"/>
    <mergeCell ref="DU726:DY726"/>
    <mergeCell ref="DU735:DY735"/>
    <mergeCell ref="EJ727:EN727"/>
    <mergeCell ref="ET733:EX733"/>
    <mergeCell ref="DU732:DY732"/>
    <mergeCell ref="DZ727:ED727"/>
    <mergeCell ref="ER659:EV659"/>
    <mergeCell ref="ER660:EV660"/>
    <mergeCell ref="DZ741:ED741"/>
    <mergeCell ref="DX670:EB670"/>
    <mergeCell ref="EC670:EG670"/>
    <mergeCell ref="ER661:EV661"/>
    <mergeCell ref="EW663:FA663"/>
    <mergeCell ref="DU733:DY733"/>
    <mergeCell ref="DZ733:ED733"/>
    <mergeCell ref="DU731:DY731"/>
    <mergeCell ref="EW668:FA668"/>
    <mergeCell ref="EM660:EQ660"/>
    <mergeCell ref="DX658:EB658"/>
    <mergeCell ref="EC658:EG658"/>
    <mergeCell ref="EC663:EG663"/>
    <mergeCell ref="DX675:EB675"/>
    <mergeCell ref="EW669:FA669"/>
    <mergeCell ref="EM670:EQ670"/>
    <mergeCell ref="EH664:EL664"/>
    <mergeCell ref="DU745:DY745"/>
    <mergeCell ref="DJ759:DN759"/>
    <mergeCell ref="DJ744:DN744"/>
    <mergeCell ref="DE744:DI744"/>
    <mergeCell ref="DZ746:ED746"/>
    <mergeCell ref="ET760:EX760"/>
    <mergeCell ref="EO759:ES759"/>
    <mergeCell ref="ET761:EX761"/>
    <mergeCell ref="EE757:EI757"/>
    <mergeCell ref="EJ757:EN757"/>
    <mergeCell ref="DO749:DS749"/>
    <mergeCell ref="EJ752:EN752"/>
    <mergeCell ref="EO752:ES752"/>
    <mergeCell ref="DJ749:DN749"/>
    <mergeCell ref="DE745:DI745"/>
    <mergeCell ref="DO758:DS758"/>
    <mergeCell ref="DJ753:DN753"/>
    <mergeCell ref="DE754:DI754"/>
    <mergeCell ref="DE751:DI751"/>
    <mergeCell ref="DZ757:ED757"/>
    <mergeCell ref="DU752:DY752"/>
    <mergeCell ref="DZ752:ED752"/>
    <mergeCell ref="EE752:EI752"/>
    <mergeCell ref="DJ752:DN752"/>
    <mergeCell ref="DU758:DY758"/>
    <mergeCell ref="DO760:DS760"/>
    <mergeCell ref="EO758:ES758"/>
    <mergeCell ref="ET758:EX758"/>
    <mergeCell ref="DZ761:ED761"/>
    <mergeCell ref="ET753:EX753"/>
    <mergeCell ref="DU754:DY754"/>
    <mergeCell ref="DZ754:ED754"/>
    <mergeCell ref="EZ741:FD741"/>
    <mergeCell ref="ET748:EX748"/>
    <mergeCell ref="CP783:CT783"/>
    <mergeCell ref="CP784:CT784"/>
    <mergeCell ref="DO781:DS781"/>
    <mergeCell ref="EZ760:FD760"/>
    <mergeCell ref="DO782:DS782"/>
    <mergeCell ref="DO785:DS785"/>
    <mergeCell ref="DE781:DI781"/>
    <mergeCell ref="CZ785:DD785"/>
    <mergeCell ref="DE785:DI785"/>
    <mergeCell ref="DE783:DI783"/>
    <mergeCell ref="DU759:DY759"/>
    <mergeCell ref="DZ759:ED759"/>
    <mergeCell ref="DU760:DY760"/>
    <mergeCell ref="DZ760:ED760"/>
    <mergeCell ref="EJ745:EN745"/>
    <mergeCell ref="DZ744:ED744"/>
    <mergeCell ref="DO748:DS748"/>
    <mergeCell ref="DJ748:DN748"/>
    <mergeCell ref="DO762:DS762"/>
    <mergeCell ref="DE761:DI761"/>
    <mergeCell ref="DO759:DS759"/>
    <mergeCell ref="DO754:DS754"/>
    <mergeCell ref="CZ754:DD754"/>
    <mergeCell ref="EJ761:EN761"/>
    <mergeCell ref="EE759:EI759"/>
    <mergeCell ref="DZ748:ED748"/>
    <mergeCell ref="EE748:EI748"/>
    <mergeCell ref="EE744:EI744"/>
    <mergeCell ref="EJ744:EN744"/>
    <mergeCell ref="CP743:CT743"/>
    <mergeCell ref="EJ737:EN737"/>
    <mergeCell ref="CI761:CJ761"/>
    <mergeCell ref="AK758:AO758"/>
    <mergeCell ref="DU761:DY761"/>
    <mergeCell ref="DZ758:ED758"/>
    <mergeCell ref="EJ735:EN735"/>
    <mergeCell ref="EO737:ES737"/>
    <mergeCell ref="EJ743:EN743"/>
    <mergeCell ref="EM661:EQ661"/>
    <mergeCell ref="EH670:EL670"/>
    <mergeCell ref="DX667:EB667"/>
    <mergeCell ref="DZ738:ED738"/>
    <mergeCell ref="EE738:EI738"/>
    <mergeCell ref="CP802:CT802"/>
    <mergeCell ref="CP785:CT785"/>
    <mergeCell ref="CP781:CT781"/>
    <mergeCell ref="CU760:CY760"/>
    <mergeCell ref="CZ753:DD753"/>
    <mergeCell ref="DE753:DI753"/>
    <mergeCell ref="CU781:CY781"/>
    <mergeCell ref="CP746:CT746"/>
    <mergeCell ref="DZ745:ED745"/>
    <mergeCell ref="EE761:EI761"/>
    <mergeCell ref="DJ784:DN784"/>
    <mergeCell ref="DO784:DS784"/>
    <mergeCell ref="DO783:DS783"/>
    <mergeCell ref="DJ761:DN761"/>
    <mergeCell ref="DE748:DI748"/>
    <mergeCell ref="DU748:DY748"/>
    <mergeCell ref="CU783:CY783"/>
    <mergeCell ref="EE753:EI753"/>
    <mergeCell ref="DU757:DY757"/>
    <mergeCell ref="DO744:DS744"/>
    <mergeCell ref="DJ754:DN754"/>
    <mergeCell ref="DE758:DI758"/>
    <mergeCell ref="DJ758:DN758"/>
    <mergeCell ref="CZ749:DD749"/>
    <mergeCell ref="CZ748:DD748"/>
    <mergeCell ref="CU749:CY749"/>
    <mergeCell ref="CZ747:DD747"/>
    <mergeCell ref="CU750:CY750"/>
    <mergeCell ref="CZ750:DD750"/>
    <mergeCell ref="CU751:CY751"/>
    <mergeCell ref="CZ751:DD751"/>
    <mergeCell ref="DJ755:DN755"/>
    <mergeCell ref="DJ781:DN781"/>
    <mergeCell ref="CU743:CY743"/>
    <mergeCell ref="CZ760:DD760"/>
    <mergeCell ref="DE752:DI752"/>
    <mergeCell ref="DE743:DI743"/>
    <mergeCell ref="DE759:DI759"/>
    <mergeCell ref="DE746:DI746"/>
    <mergeCell ref="CZ746:DD746"/>
    <mergeCell ref="DE800:DI800"/>
    <mergeCell ref="CZ752:DD752"/>
    <mergeCell ref="CG750:CH750"/>
    <mergeCell ref="CM749:CN749"/>
    <mergeCell ref="DE802:DI802"/>
    <mergeCell ref="CZ745:DD745"/>
    <mergeCell ref="DE784:DI784"/>
    <mergeCell ref="CP747:CT747"/>
    <mergeCell ref="DE799:DI799"/>
    <mergeCell ref="DJ760:DN760"/>
    <mergeCell ref="CI748:CJ748"/>
    <mergeCell ref="DJ782:DN782"/>
    <mergeCell ref="CK750:CL750"/>
    <mergeCell ref="CK742:CL742"/>
    <mergeCell ref="CK758:CL758"/>
    <mergeCell ref="CG752:CH752"/>
    <mergeCell ref="CI752:CJ752"/>
    <mergeCell ref="CG758:CH758"/>
    <mergeCell ref="CG753:CH753"/>
    <mergeCell ref="CI753:CJ753"/>
    <mergeCell ref="CP801:CT801"/>
    <mergeCell ref="CP800:CT800"/>
    <mergeCell ref="CP799:CT799"/>
    <mergeCell ref="CP798:CT798"/>
    <mergeCell ref="CZ761:DD761"/>
    <mergeCell ref="DJ783:DN783"/>
    <mergeCell ref="CU747:CY747"/>
    <mergeCell ref="DJ742:DN742"/>
    <mergeCell ref="CP797:CT797"/>
    <mergeCell ref="CP795:CT795"/>
    <mergeCell ref="CP761:CT761"/>
    <mergeCell ref="DJ750:DN750"/>
    <mergeCell ref="DE733:DI733"/>
    <mergeCell ref="CI738:CJ738"/>
    <mergeCell ref="CI744:CJ744"/>
    <mergeCell ref="CZ759:DD759"/>
    <mergeCell ref="DJ785:DN785"/>
    <mergeCell ref="CZ782:DD782"/>
    <mergeCell ref="CZ781:DD781"/>
    <mergeCell ref="DO761:DS761"/>
    <mergeCell ref="DO746:DS746"/>
    <mergeCell ref="DE741:DI741"/>
    <mergeCell ref="DJ739:DN739"/>
    <mergeCell ref="DE739:DI739"/>
    <mergeCell ref="DO734:DS734"/>
    <mergeCell ref="CZ739:DD739"/>
    <mergeCell ref="CM741:CN741"/>
    <mergeCell ref="DJ738:DN738"/>
    <mergeCell ref="DJ735:DN735"/>
    <mergeCell ref="DJ734:DN734"/>
    <mergeCell ref="DE737:DI737"/>
    <mergeCell ref="DE734:DI734"/>
    <mergeCell ref="CU736:CY736"/>
    <mergeCell ref="CM734:CN734"/>
    <mergeCell ref="DJ736:DN736"/>
    <mergeCell ref="CI739:CJ739"/>
    <mergeCell ref="CI736:CJ736"/>
    <mergeCell ref="CK739:CL739"/>
    <mergeCell ref="CK737:CL737"/>
    <mergeCell ref="DE735:DI735"/>
    <mergeCell ref="CU741:CY741"/>
    <mergeCell ref="CZ742:DD742"/>
    <mergeCell ref="DE742:DI742"/>
    <mergeCell ref="CK746:CL746"/>
    <mergeCell ref="EO740:ES740"/>
    <mergeCell ref="ET737:EX737"/>
    <mergeCell ref="EJ747:EN747"/>
    <mergeCell ref="DJ746:DN746"/>
    <mergeCell ref="EO745:ES745"/>
    <mergeCell ref="EO748:ES748"/>
    <mergeCell ref="DZ729:ED729"/>
    <mergeCell ref="DZ730:ED730"/>
    <mergeCell ref="DU725:DY725"/>
    <mergeCell ref="DU747:DY747"/>
    <mergeCell ref="DZ747:ED747"/>
    <mergeCell ref="DO733:DS733"/>
    <mergeCell ref="ET744:EX744"/>
    <mergeCell ref="ET732:EX732"/>
    <mergeCell ref="ET730:EX730"/>
    <mergeCell ref="ET728:EX728"/>
    <mergeCell ref="DO737:DS737"/>
    <mergeCell ref="DO727:DS727"/>
    <mergeCell ref="EO744:ES744"/>
    <mergeCell ref="DO745:DS745"/>
    <mergeCell ref="EE747:EI747"/>
    <mergeCell ref="EO743:ES743"/>
    <mergeCell ref="DZ743:ED743"/>
    <mergeCell ref="ET745:EX745"/>
    <mergeCell ref="DU743:DY743"/>
    <mergeCell ref="EO732:ES732"/>
    <mergeCell ref="DO726:DS726"/>
    <mergeCell ref="EO733:ES733"/>
    <mergeCell ref="EE733:EI733"/>
    <mergeCell ref="EE734:EI734"/>
    <mergeCell ref="EJ734:EN734"/>
    <mergeCell ref="DO743:DS743"/>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P430:R430"/>
    <mergeCell ref="Q398:U398"/>
    <mergeCell ref="D453:AF453"/>
    <mergeCell ref="R420:S420"/>
    <mergeCell ref="W473:Y473"/>
    <mergeCell ref="C646:L646"/>
    <mergeCell ref="Z694:AK694"/>
    <mergeCell ref="Z683:AK683"/>
    <mergeCell ref="AK636:AN636"/>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K635:AN635"/>
    <mergeCell ref="AM573:AS573"/>
    <mergeCell ref="AE571:AH571"/>
    <mergeCell ref="AM571:AS571"/>
    <mergeCell ref="AO636:AS636"/>
    <mergeCell ref="AG615:AH615"/>
    <mergeCell ref="AO632:AS634"/>
    <mergeCell ref="AC638:AE638"/>
    <mergeCell ref="AI567:AL567"/>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21:AL21"/>
    <mergeCell ref="M27:Q27"/>
    <mergeCell ref="A13:AT14"/>
    <mergeCell ref="AM574:AS574"/>
    <mergeCell ref="AI621:AK621"/>
    <mergeCell ref="AA622:AK622"/>
    <mergeCell ref="AC632:AE634"/>
    <mergeCell ref="Z589:AE589"/>
    <mergeCell ref="Z594:AK594"/>
    <mergeCell ref="G659:R659"/>
    <mergeCell ref="G660:R660"/>
    <mergeCell ref="J712:X712"/>
    <mergeCell ref="AA656:AK656"/>
    <mergeCell ref="AK645:AN645"/>
    <mergeCell ref="H672:R672"/>
    <mergeCell ref="G686:R686"/>
    <mergeCell ref="P687:R687"/>
    <mergeCell ref="G744:J744"/>
    <mergeCell ref="AK744:AO744"/>
    <mergeCell ref="G731:J731"/>
    <mergeCell ref="O733:S733"/>
    <mergeCell ref="O734:S734"/>
    <mergeCell ref="G740:J740"/>
    <mergeCell ref="AH743:AJ743"/>
    <mergeCell ref="X742:AB742"/>
    <mergeCell ref="M582:R582"/>
    <mergeCell ref="P597:R597"/>
    <mergeCell ref="Z596:AK596"/>
    <mergeCell ref="T632:V634"/>
    <mergeCell ref="W635:Y635"/>
    <mergeCell ref="T635:V635"/>
    <mergeCell ref="AO641:AS641"/>
    <mergeCell ref="G685:R685"/>
    <mergeCell ref="H656:R656"/>
    <mergeCell ref="M645:P645"/>
    <mergeCell ref="AM572:AS572"/>
    <mergeCell ref="AE564:AH564"/>
    <mergeCell ref="AE567:AH567"/>
    <mergeCell ref="AC524:AF524"/>
    <mergeCell ref="AH517:AK517"/>
    <mergeCell ref="AM566:AS566"/>
    <mergeCell ref="AC525:AF525"/>
    <mergeCell ref="AC512:AF512"/>
    <mergeCell ref="AE565:AH565"/>
    <mergeCell ref="AK728:AO728"/>
    <mergeCell ref="W708:AK708"/>
    <mergeCell ref="Z691:AK691"/>
    <mergeCell ref="Q642:S642"/>
    <mergeCell ref="G610:R610"/>
    <mergeCell ref="Z653:AK653"/>
    <mergeCell ref="AH525:AK525"/>
    <mergeCell ref="Z687:AE687"/>
    <mergeCell ref="Z678:AK678"/>
    <mergeCell ref="AM569:AS569"/>
    <mergeCell ref="Z639:AB639"/>
    <mergeCell ref="AF632:AJ634"/>
    <mergeCell ref="AM567:AS567"/>
    <mergeCell ref="Z695:AE695"/>
    <mergeCell ref="Z644:AB644"/>
    <mergeCell ref="AO642:AS642"/>
    <mergeCell ref="AM564:AS564"/>
    <mergeCell ref="AI570:AL570"/>
    <mergeCell ref="T569:V569"/>
    <mergeCell ref="AG607:AH607"/>
    <mergeCell ref="G603:R603"/>
    <mergeCell ref="G604:R604"/>
    <mergeCell ref="Z585:AK585"/>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A934:AF934"/>
    <mergeCell ref="F925:T926"/>
    <mergeCell ref="T759:W759"/>
    <mergeCell ref="K756:N756"/>
    <mergeCell ref="B743:F743"/>
    <mergeCell ref="B746:F746"/>
    <mergeCell ref="K757:N757"/>
    <mergeCell ref="O757:S757"/>
    <mergeCell ref="X759:AB759"/>
    <mergeCell ref="O749:S749"/>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46" zoomScaleNormal="100" workbookViewId="0">
      <selection activeCell="T99" sqref="T99"/>
    </sheetView>
  </sheetViews>
  <sheetFormatPr defaultColWidth="0" defaultRowHeight="11.4" zeroHeight="1"/>
  <cols>
    <col min="1" max="1" width="35.6640625" style="187" customWidth="1"/>
    <col min="2" max="12" width="12.109375" style="158" customWidth="1"/>
    <col min="13" max="17" width="11.33203125" style="158" customWidth="1"/>
    <col min="18" max="18" width="12.6640625" style="158" customWidth="1"/>
    <col min="19" max="20" width="12.109375" style="158" customWidth="1"/>
    <col min="21" max="21" width="0.33203125" style="161" customWidth="1"/>
    <col min="22" max="16383" width="8.88671875" style="158" hidden="1"/>
    <col min="16384" max="16384" width="0.109375" style="158" customWidth="1"/>
  </cols>
  <sheetData>
    <row r="1" spans="1:21" s="110" customFormat="1" ht="13.8">
      <c r="A1" s="168" t="s">
        <v>547</v>
      </c>
      <c r="B1" s="125"/>
      <c r="C1" s="125"/>
      <c r="D1" s="125"/>
      <c r="E1" s="126"/>
      <c r="F1" s="1946" t="s">
        <v>619</v>
      </c>
      <c r="G1" s="1947"/>
      <c r="H1" s="1947"/>
      <c r="I1" s="1947"/>
      <c r="J1" s="1947"/>
      <c r="K1" s="1947"/>
      <c r="L1" s="1947"/>
      <c r="M1" s="1947"/>
      <c r="N1" s="1947"/>
      <c r="O1" s="1947"/>
      <c r="P1" s="1947"/>
      <c r="Q1" s="1947"/>
      <c r="R1" s="1948"/>
      <c r="S1" s="112"/>
      <c r="T1" s="111"/>
      <c r="U1" s="113"/>
    </row>
    <row r="2" spans="1:21" s="138" customFormat="1" ht="71.25" customHeight="1">
      <c r="A2" s="137"/>
      <c r="B2" s="138" t="s">
        <v>23</v>
      </c>
      <c r="C2" s="138" t="s">
        <v>373</v>
      </c>
      <c r="D2" s="138" t="s">
        <v>372</v>
      </c>
      <c r="E2" s="138" t="s">
        <v>24</v>
      </c>
      <c r="F2" s="139" t="str">
        <f>Application!B635&amp;Application!C635</f>
        <v>1)CitiBank</v>
      </c>
      <c r="G2" s="139" t="str">
        <f>Application!B636&amp;Application!C636</f>
        <v>2)CitiBank</v>
      </c>
      <c r="H2" s="139" t="str">
        <f>Application!B637&amp;Application!C637</f>
        <v>3)Stifel, Nicolaus and Company</v>
      </c>
      <c r="I2" s="139" t="str">
        <f>Application!B638&amp;Application!C638</f>
        <v>4)Safehold Inc.</v>
      </c>
      <c r="J2" s="139" t="str">
        <f>Application!B639&amp;Application!C639</f>
        <v>5)Short-Term Bond Reinvestment</v>
      </c>
      <c r="K2" s="139" t="str">
        <f>Application!B640&amp;Application!C640</f>
        <v>6)Deferred Developer Fee</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2">
      <c r="A8" s="149" t="s">
        <v>591</v>
      </c>
      <c r="B8" s="146">
        <f>SUM(C8:D8)</f>
        <v>0</v>
      </c>
      <c r="C8" s="146">
        <f t="shared" ref="C8:Q8" si="0">SUM(C4:C7)</f>
        <v>0</v>
      </c>
      <c r="D8" s="146">
        <f t="shared" si="0"/>
        <v>0</v>
      </c>
      <c r="E8" s="146">
        <f t="shared" si="0"/>
        <v>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0</v>
      </c>
      <c r="S8" s="148"/>
      <c r="T8" s="148"/>
      <c r="U8" s="143"/>
    </row>
    <row r="9" spans="1:21" s="144" customFormat="1">
      <c r="A9" s="145" t="s">
        <v>592</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593</v>
      </c>
      <c r="B10" s="146">
        <f>SUM(C10+D10)</f>
        <v>500000</v>
      </c>
      <c r="C10" s="147">
        <v>500000</v>
      </c>
      <c r="D10" s="147"/>
      <c r="E10" s="147">
        <f>C10</f>
        <v>500000</v>
      </c>
      <c r="F10" s="147"/>
      <c r="G10" s="147"/>
      <c r="H10" s="147"/>
      <c r="I10" s="147"/>
      <c r="J10" s="147"/>
      <c r="K10" s="147"/>
      <c r="L10" s="147"/>
      <c r="M10" s="147"/>
      <c r="N10" s="147"/>
      <c r="O10" s="147"/>
      <c r="P10" s="147"/>
      <c r="Q10" s="147"/>
      <c r="R10" s="512">
        <f>SUM(E10:Q10)</f>
        <v>500000</v>
      </c>
      <c r="S10" s="147">
        <f>R10</f>
        <v>500000</v>
      </c>
      <c r="T10" s="147"/>
      <c r="U10" s="143"/>
    </row>
    <row r="11" spans="1:21" s="144" customFormat="1" ht="12">
      <c r="A11" s="149" t="s">
        <v>594</v>
      </c>
      <c r="B11" s="146">
        <f>SUM(C11:D11)</f>
        <v>500000</v>
      </c>
      <c r="C11" s="146">
        <f t="shared" ref="C11:Q11" si="1">SUM(C9:C10)</f>
        <v>500000</v>
      </c>
      <c r="D11" s="146">
        <f t="shared" si="1"/>
        <v>0</v>
      </c>
      <c r="E11" s="146">
        <f t="shared" si="1"/>
        <v>500000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500000</v>
      </c>
      <c r="S11" s="148"/>
      <c r="T11" s="150">
        <f>SUM(T9:T10)</f>
        <v>0</v>
      </c>
      <c r="U11" s="143"/>
    </row>
    <row r="12" spans="1:21" s="144" customFormat="1" ht="12">
      <c r="A12" s="149" t="s">
        <v>84</v>
      </c>
      <c r="B12" s="146">
        <f t="shared" ref="B12:Q12" si="2">SUM(B8+B11)</f>
        <v>500000</v>
      </c>
      <c r="C12" s="146">
        <f t="shared" si="2"/>
        <v>500000</v>
      </c>
      <c r="D12" s="146">
        <f t="shared" si="2"/>
        <v>0</v>
      </c>
      <c r="E12" s="146">
        <f t="shared" si="2"/>
        <v>500000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500000</v>
      </c>
      <c r="S12" s="148"/>
      <c r="T12" s="148"/>
      <c r="U12" s="143"/>
    </row>
    <row r="13" spans="1:21" s="144" customFormat="1">
      <c r="A13" s="287" t="s">
        <v>900</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8">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595</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596</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597</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598</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ht="12">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ht="12">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596</v>
      </c>
      <c r="B29" s="146">
        <f t="shared" ref="B29:B38" si="6">SUM(C29+D29)</f>
        <v>1000000</v>
      </c>
      <c r="C29" s="147">
        <v>1000000</v>
      </c>
      <c r="D29" s="147"/>
      <c r="E29" s="147">
        <f>C29</f>
        <v>1000000</v>
      </c>
      <c r="F29" s="147"/>
      <c r="G29" s="147"/>
      <c r="H29" s="147"/>
      <c r="I29" s="147"/>
      <c r="J29" s="147"/>
      <c r="K29" s="147"/>
      <c r="L29" s="147"/>
      <c r="M29" s="147"/>
      <c r="N29" s="147"/>
      <c r="O29" s="147"/>
      <c r="P29" s="147"/>
      <c r="Q29" s="147"/>
      <c r="R29" s="512">
        <f t="shared" ref="R29:R37" si="7">SUM(E29:Q29)</f>
        <v>1000000</v>
      </c>
      <c r="S29" s="147" cm="1">
        <f t="array" ref="S29:S35">R29:R35</f>
        <v>1000000</v>
      </c>
      <c r="T29" s="147"/>
      <c r="U29" s="143"/>
    </row>
    <row r="30" spans="1:21" s="144" customFormat="1">
      <c r="A30" s="145" t="s">
        <v>597</v>
      </c>
      <c r="B30" s="146">
        <f t="shared" si="6"/>
        <v>40210092</v>
      </c>
      <c r="C30" s="147">
        <v>40210092</v>
      </c>
      <c r="D30" s="147"/>
      <c r="E30" s="147">
        <f>C30-SUM(F30:K30)</f>
        <v>356965</v>
      </c>
      <c r="F30" s="147">
        <v>20000000</v>
      </c>
      <c r="G30" s="147">
        <v>54008</v>
      </c>
      <c r="H30" s="147">
        <v>5000000</v>
      </c>
      <c r="I30" s="147">
        <v>10900000</v>
      </c>
      <c r="J30" s="147">
        <f>2257519+1641600</f>
        <v>3899119</v>
      </c>
      <c r="K30" s="147">
        <v>0</v>
      </c>
      <c r="L30" s="147"/>
      <c r="M30" s="147"/>
      <c r="N30" s="147"/>
      <c r="O30" s="147"/>
      <c r="P30" s="147"/>
      <c r="Q30" s="147"/>
      <c r="R30" s="512">
        <f t="shared" si="7"/>
        <v>40210092</v>
      </c>
      <c r="S30" s="147">
        <v>40210092</v>
      </c>
      <c r="T30" s="147"/>
      <c r="U30" s="143"/>
    </row>
    <row r="31" spans="1:21" s="144" customFormat="1">
      <c r="A31" s="145" t="s">
        <v>598</v>
      </c>
      <c r="B31" s="146">
        <f t="shared" si="6"/>
        <v>2502606</v>
      </c>
      <c r="C31" s="147">
        <v>2502606</v>
      </c>
      <c r="D31" s="147"/>
      <c r="E31" s="147">
        <f>C31-F31</f>
        <v>1373908</v>
      </c>
      <c r="F31" s="147">
        <v>1128698</v>
      </c>
      <c r="G31" s="147"/>
      <c r="H31" s="147"/>
      <c r="I31" s="147"/>
      <c r="J31" s="147"/>
      <c r="K31" s="147"/>
      <c r="L31" s="147"/>
      <c r="M31" s="147"/>
      <c r="N31" s="147"/>
      <c r="O31" s="147"/>
      <c r="P31" s="147"/>
      <c r="Q31" s="147"/>
      <c r="R31" s="512">
        <f t="shared" si="7"/>
        <v>2502606</v>
      </c>
      <c r="S31" s="147">
        <v>2502606</v>
      </c>
      <c r="T31" s="147"/>
      <c r="U31" s="143"/>
    </row>
    <row r="32" spans="1:21" s="144" customFormat="1">
      <c r="A32" s="145" t="s">
        <v>137</v>
      </c>
      <c r="B32" s="146">
        <f t="shared" si="6"/>
        <v>1668404</v>
      </c>
      <c r="C32" s="147">
        <v>1668404</v>
      </c>
      <c r="D32" s="147"/>
      <c r="E32" s="147" cm="1">
        <f t="array" ref="E32:E35">C32:C35</f>
        <v>1668404</v>
      </c>
      <c r="F32" s="147"/>
      <c r="G32" s="147"/>
      <c r="H32" s="147"/>
      <c r="I32" s="147"/>
      <c r="J32" s="147"/>
      <c r="K32" s="147"/>
      <c r="L32" s="147"/>
      <c r="M32" s="147"/>
      <c r="N32" s="147"/>
      <c r="O32" s="147"/>
      <c r="P32" s="147"/>
      <c r="Q32" s="147"/>
      <c r="R32" s="512">
        <f t="shared" si="7"/>
        <v>1668404</v>
      </c>
      <c r="S32" s="147">
        <v>1668404</v>
      </c>
      <c r="T32" s="147"/>
      <c r="U32" s="143"/>
    </row>
    <row r="33" spans="1:21" s="144" customFormat="1">
      <c r="A33" s="145" t="s">
        <v>138</v>
      </c>
      <c r="B33" s="146">
        <f t="shared" si="6"/>
        <v>1668404</v>
      </c>
      <c r="C33" s="147">
        <v>1668404</v>
      </c>
      <c r="D33" s="147"/>
      <c r="E33" s="147">
        <v>1668404</v>
      </c>
      <c r="F33" s="147"/>
      <c r="G33" s="147"/>
      <c r="H33" s="147"/>
      <c r="I33" s="147"/>
      <c r="J33" s="147"/>
      <c r="K33" s="147"/>
      <c r="L33" s="147"/>
      <c r="M33" s="147"/>
      <c r="N33" s="147"/>
      <c r="O33" s="147"/>
      <c r="P33" s="147"/>
      <c r="Q33" s="147"/>
      <c r="R33" s="512">
        <f t="shared" si="7"/>
        <v>1668404</v>
      </c>
      <c r="S33" s="147">
        <v>1668404</v>
      </c>
      <c r="T33" s="147"/>
      <c r="U33" s="143"/>
    </row>
    <row r="34" spans="1:21" s="144" customFormat="1">
      <c r="A34" s="145" t="s">
        <v>139</v>
      </c>
      <c r="B34" s="146">
        <f t="shared" si="6"/>
        <v>0</v>
      </c>
      <c r="C34" s="147"/>
      <c r="D34" s="147"/>
      <c r="E34" s="147">
        <v>0</v>
      </c>
      <c r="F34" s="147"/>
      <c r="G34" s="147"/>
      <c r="H34" s="147"/>
      <c r="I34" s="147"/>
      <c r="J34" s="147"/>
      <c r="K34" s="147"/>
      <c r="L34" s="147"/>
      <c r="M34" s="147"/>
      <c r="N34" s="147"/>
      <c r="O34" s="147"/>
      <c r="P34" s="147"/>
      <c r="Q34" s="147"/>
      <c r="R34" s="512">
        <f t="shared" si="7"/>
        <v>0</v>
      </c>
      <c r="S34" s="147">
        <v>0</v>
      </c>
      <c r="T34" s="147"/>
      <c r="U34" s="143"/>
    </row>
    <row r="35" spans="1:21" s="144" customFormat="1">
      <c r="A35" s="145" t="s">
        <v>140</v>
      </c>
      <c r="B35" s="146">
        <f t="shared" si="6"/>
        <v>475495</v>
      </c>
      <c r="C35" s="147">
        <v>475495</v>
      </c>
      <c r="D35" s="147"/>
      <c r="E35" s="147">
        <v>475495</v>
      </c>
      <c r="F35" s="147"/>
      <c r="G35" s="147"/>
      <c r="H35" s="147"/>
      <c r="I35" s="147"/>
      <c r="J35" s="147"/>
      <c r="K35" s="147"/>
      <c r="L35" s="147"/>
      <c r="M35" s="147"/>
      <c r="N35" s="147"/>
      <c r="O35" s="147"/>
      <c r="P35" s="147"/>
      <c r="Q35" s="147"/>
      <c r="R35" s="512">
        <f t="shared" si="7"/>
        <v>475495</v>
      </c>
      <c r="S35" s="147">
        <v>475495</v>
      </c>
      <c r="T35" s="147"/>
      <c r="U35" s="143"/>
    </row>
    <row r="36" spans="1:21" s="144" customFormat="1">
      <c r="A36" s="283" t="s">
        <v>1626</v>
      </c>
      <c r="B36" s="146">
        <f>SUM(C36+D36)</f>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SUM(C37+D37)</f>
        <v>0</v>
      </c>
      <c r="C37" s="147"/>
      <c r="D37" s="147"/>
      <c r="E37" s="147">
        <f>C37</f>
        <v>0</v>
      </c>
      <c r="F37" s="147"/>
      <c r="G37" s="147"/>
      <c r="H37" s="147"/>
      <c r="I37" s="147"/>
      <c r="J37" s="147"/>
      <c r="K37" s="147"/>
      <c r="L37" s="147"/>
      <c r="M37" s="147"/>
      <c r="N37" s="147"/>
      <c r="O37" s="147"/>
      <c r="P37" s="147"/>
      <c r="Q37" s="147"/>
      <c r="R37" s="512">
        <f t="shared" si="7"/>
        <v>0</v>
      </c>
      <c r="S37" s="147">
        <f>R37</f>
        <v>0</v>
      </c>
      <c r="T37" s="147"/>
      <c r="U37" s="143"/>
    </row>
    <row r="38" spans="1:21" s="144" customFormat="1" ht="12">
      <c r="A38" s="149" t="s">
        <v>143</v>
      </c>
      <c r="B38" s="146">
        <f t="shared" si="6"/>
        <v>47525001</v>
      </c>
      <c r="C38" s="146">
        <f>SUM(C29:C37)</f>
        <v>47525001</v>
      </c>
      <c r="D38" s="146">
        <f t="shared" ref="D38:Q38" si="8">SUM(D29:D37)</f>
        <v>0</v>
      </c>
      <c r="E38" s="146">
        <f t="shared" si="8"/>
        <v>6543176</v>
      </c>
      <c r="F38" s="146">
        <f t="shared" si="8"/>
        <v>21128698</v>
      </c>
      <c r="G38" s="146">
        <f t="shared" si="8"/>
        <v>54008</v>
      </c>
      <c r="H38" s="146">
        <f t="shared" si="8"/>
        <v>5000000</v>
      </c>
      <c r="I38" s="146">
        <f t="shared" si="8"/>
        <v>10900000</v>
      </c>
      <c r="J38" s="146">
        <f t="shared" si="8"/>
        <v>3899119</v>
      </c>
      <c r="K38" s="146">
        <f t="shared" si="8"/>
        <v>0</v>
      </c>
      <c r="L38" s="146">
        <f t="shared" si="8"/>
        <v>0</v>
      </c>
      <c r="M38" s="146">
        <f t="shared" si="8"/>
        <v>0</v>
      </c>
      <c r="N38" s="146">
        <f t="shared" si="8"/>
        <v>0</v>
      </c>
      <c r="O38" s="146">
        <f t="shared" si="8"/>
        <v>0</v>
      </c>
      <c r="P38" s="146">
        <f t="shared" si="8"/>
        <v>0</v>
      </c>
      <c r="Q38" s="146">
        <f t="shared" si="8"/>
        <v>0</v>
      </c>
      <c r="R38" s="339">
        <f>SUM(R29:R37)</f>
        <v>47525001</v>
      </c>
      <c r="S38" s="150">
        <f>SUM(S29:S37)</f>
        <v>47525001</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1200000</v>
      </c>
      <c r="C40" s="147">
        <v>1200000</v>
      </c>
      <c r="D40" s="147"/>
      <c r="E40" s="147">
        <f>C40</f>
        <v>1200000</v>
      </c>
      <c r="F40" s="147"/>
      <c r="G40" s="147"/>
      <c r="H40" s="147"/>
      <c r="I40" s="147"/>
      <c r="J40" s="147"/>
      <c r="K40" s="147"/>
      <c r="L40" s="147"/>
      <c r="M40" s="147"/>
      <c r="N40" s="147"/>
      <c r="O40" s="147"/>
      <c r="P40" s="147"/>
      <c r="Q40" s="147"/>
      <c r="R40" s="512">
        <f>SUM(E40:Q40)</f>
        <v>1200000</v>
      </c>
      <c r="S40" s="147">
        <f>R40</f>
        <v>1200000</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ht="12">
      <c r="A42" s="149" t="s">
        <v>147</v>
      </c>
      <c r="B42" s="146">
        <f>SUM(C42:D42)</f>
        <v>1200000</v>
      </c>
      <c r="C42" s="146">
        <f>SUM(C39:C41)</f>
        <v>1200000</v>
      </c>
      <c r="D42" s="146">
        <f>SUM(D39:D41)</f>
        <v>0</v>
      </c>
      <c r="E42" s="146">
        <f t="shared" ref="E42:T42" si="9">SUM(E40:E41)</f>
        <v>1200000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1200000</v>
      </c>
      <c r="S42" s="150">
        <f t="shared" si="9"/>
        <v>1200000</v>
      </c>
      <c r="T42" s="150">
        <f t="shared" si="9"/>
        <v>0</v>
      </c>
      <c r="U42" s="143"/>
    </row>
    <row r="43" spans="1:21" s="144" customFormat="1" ht="12">
      <c r="A43" s="149" t="s">
        <v>148</v>
      </c>
      <c r="B43" s="146">
        <f>SUM(C43:D43)</f>
        <v>650000</v>
      </c>
      <c r="C43" s="147">
        <v>650000</v>
      </c>
      <c r="D43" s="147"/>
      <c r="E43" s="147">
        <f>C43</f>
        <v>650000</v>
      </c>
      <c r="F43" s="147"/>
      <c r="G43" s="147"/>
      <c r="H43" s="147"/>
      <c r="I43" s="147"/>
      <c r="J43" s="147"/>
      <c r="K43" s="147"/>
      <c r="L43" s="147"/>
      <c r="M43" s="147"/>
      <c r="N43" s="147"/>
      <c r="O43" s="147"/>
      <c r="P43" s="147"/>
      <c r="Q43" s="147"/>
      <c r="R43" s="512">
        <f>SUM(E43:Q43)</f>
        <v>650000</v>
      </c>
      <c r="S43" s="147">
        <f>R43</f>
        <v>650000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3692240</v>
      </c>
      <c r="C45" s="147">
        <v>3692240</v>
      </c>
      <c r="D45" s="147"/>
      <c r="E45" s="147" cm="1">
        <f t="array" ref="E45:E46">C45:C46</f>
        <v>3692240</v>
      </c>
      <c r="F45" s="147"/>
      <c r="G45" s="147"/>
      <c r="H45" s="147"/>
      <c r="I45" s="147"/>
      <c r="J45" s="147"/>
      <c r="K45" s="147"/>
      <c r="L45" s="147"/>
      <c r="M45" s="147"/>
      <c r="N45" s="147"/>
      <c r="O45" s="147"/>
      <c r="P45" s="147"/>
      <c r="Q45" s="147"/>
      <c r="R45" s="512">
        <f t="shared" ref="R45:R53" si="11">SUM(E45:Q45)</f>
        <v>3692240</v>
      </c>
      <c r="S45" s="147">
        <v>2291486</v>
      </c>
      <c r="T45" s="147"/>
      <c r="U45" s="143"/>
    </row>
    <row r="46" spans="1:21" s="144" customFormat="1">
      <c r="A46" s="145" t="s">
        <v>151</v>
      </c>
      <c r="B46" s="146">
        <f t="shared" si="10"/>
        <v>338722</v>
      </c>
      <c r="C46" s="147">
        <v>338722</v>
      </c>
      <c r="D46" s="147"/>
      <c r="E46" s="147">
        <v>338722</v>
      </c>
      <c r="F46" s="147"/>
      <c r="G46" s="147"/>
      <c r="H46" s="147"/>
      <c r="I46" s="147"/>
      <c r="J46" s="147"/>
      <c r="K46" s="147"/>
      <c r="L46" s="147"/>
      <c r="M46" s="147"/>
      <c r="N46" s="147"/>
      <c r="O46" s="147"/>
      <c r="P46" s="147"/>
      <c r="Q46" s="147"/>
      <c r="R46" s="512">
        <f t="shared" si="11"/>
        <v>338722</v>
      </c>
      <c r="S46" s="147">
        <v>254041</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75398</v>
      </c>
      <c r="C49" s="147">
        <v>75398</v>
      </c>
      <c r="D49" s="147"/>
      <c r="E49" s="147" cm="1">
        <f t="array" ref="E49:E53">C49:C53</f>
        <v>75398</v>
      </c>
      <c r="F49" s="147"/>
      <c r="G49" s="147"/>
      <c r="H49" s="147"/>
      <c r="I49" s="147"/>
      <c r="J49" s="147"/>
      <c r="K49" s="147"/>
      <c r="L49" s="147"/>
      <c r="M49" s="147"/>
      <c r="N49" s="147"/>
      <c r="O49" s="147"/>
      <c r="P49" s="147"/>
      <c r="Q49" s="147"/>
      <c r="R49" s="512">
        <f t="shared" si="11"/>
        <v>75398</v>
      </c>
      <c r="S49" s="147">
        <f>R49</f>
        <v>75398</v>
      </c>
      <c r="T49" s="147"/>
      <c r="U49" s="143"/>
    </row>
    <row r="50" spans="1:21" s="144" customFormat="1">
      <c r="A50" s="145" t="s">
        <v>156</v>
      </c>
      <c r="B50" s="146">
        <f t="shared" si="10"/>
        <v>100000</v>
      </c>
      <c r="C50" s="147">
        <v>100000</v>
      </c>
      <c r="D50" s="147"/>
      <c r="E50" s="147">
        <v>100000</v>
      </c>
      <c r="F50" s="147"/>
      <c r="G50" s="147"/>
      <c r="H50" s="147"/>
      <c r="I50" s="147"/>
      <c r="J50" s="147"/>
      <c r="K50" s="147"/>
      <c r="L50" s="147"/>
      <c r="M50" s="147"/>
      <c r="N50" s="147"/>
      <c r="O50" s="147"/>
      <c r="P50" s="147"/>
      <c r="Q50" s="147"/>
      <c r="R50" s="512">
        <f t="shared" si="11"/>
        <v>100000</v>
      </c>
      <c r="S50" s="147">
        <v>75000</v>
      </c>
      <c r="T50" s="147"/>
      <c r="U50" s="143"/>
    </row>
    <row r="51" spans="1:21" s="144" customFormat="1">
      <c r="A51" s="283" t="s">
        <v>154</v>
      </c>
      <c r="B51" s="146">
        <f t="shared" si="10"/>
        <v>120000</v>
      </c>
      <c r="C51" s="147">
        <v>120000</v>
      </c>
      <c r="D51" s="147"/>
      <c r="E51" s="147">
        <v>120000</v>
      </c>
      <c r="F51" s="147"/>
      <c r="G51" s="147"/>
      <c r="H51" s="147"/>
      <c r="I51" s="147"/>
      <c r="J51" s="147"/>
      <c r="K51" s="147"/>
      <c r="L51" s="147"/>
      <c r="M51" s="147"/>
      <c r="N51" s="147"/>
      <c r="O51" s="147"/>
      <c r="P51" s="147"/>
      <c r="Q51" s="147"/>
      <c r="R51" s="512">
        <f t="shared" si="11"/>
        <v>120000</v>
      </c>
      <c r="S51" s="147" cm="1">
        <f t="array" ref="S51:S52">R51:R52</f>
        <v>120000</v>
      </c>
      <c r="T51" s="147"/>
      <c r="U51" s="143"/>
    </row>
    <row r="52" spans="1:21" s="144" customFormat="1">
      <c r="A52" s="145" t="s">
        <v>155</v>
      </c>
      <c r="B52" s="146">
        <f t="shared" si="10"/>
        <v>480000</v>
      </c>
      <c r="C52" s="147">
        <v>480000</v>
      </c>
      <c r="D52" s="147"/>
      <c r="E52" s="147">
        <v>480000</v>
      </c>
      <c r="F52" s="147"/>
      <c r="G52" s="147"/>
      <c r="H52" s="147"/>
      <c r="I52" s="147"/>
      <c r="J52" s="147"/>
      <c r="K52" s="147"/>
      <c r="L52" s="147"/>
      <c r="M52" s="147"/>
      <c r="N52" s="147"/>
      <c r="O52" s="147"/>
      <c r="P52" s="147"/>
      <c r="Q52" s="147"/>
      <c r="R52" s="512">
        <f t="shared" si="11"/>
        <v>480000</v>
      </c>
      <c r="S52" s="147">
        <v>480000</v>
      </c>
      <c r="T52" s="147"/>
      <c r="U52" s="143"/>
    </row>
    <row r="53" spans="1:21" s="144" customFormat="1" ht="57">
      <c r="A53" s="1138" t="s">
        <v>2788</v>
      </c>
      <c r="B53" s="146">
        <f t="shared" si="10"/>
        <v>4919751</v>
      </c>
      <c r="C53" s="147">
        <f>200000+1000000+1646108+1748000+225643+100000</f>
        <v>4919751</v>
      </c>
      <c r="D53" s="147"/>
      <c r="E53" s="147">
        <v>4919751</v>
      </c>
      <c r="F53" s="147"/>
      <c r="G53" s="147"/>
      <c r="H53" s="147"/>
      <c r="I53" s="147"/>
      <c r="J53" s="147"/>
      <c r="K53" s="147"/>
      <c r="L53" s="147"/>
      <c r="M53" s="147"/>
      <c r="N53" s="147"/>
      <c r="O53" s="147"/>
      <c r="P53" s="147"/>
      <c r="Q53" s="147"/>
      <c r="R53" s="512">
        <f t="shared" si="11"/>
        <v>4919751</v>
      </c>
      <c r="S53" s="147">
        <f>833333+3919751</f>
        <v>4753084</v>
      </c>
      <c r="T53" s="147"/>
      <c r="U53" s="143"/>
    </row>
    <row r="54" spans="1:21" s="153" customFormat="1" ht="12">
      <c r="A54" s="149" t="s">
        <v>157</v>
      </c>
      <c r="B54" s="150">
        <f>SUM(C54:D54)</f>
        <v>9726111</v>
      </c>
      <c r="C54" s="150">
        <f t="shared" ref="C54:T54" si="12">SUM(C45:C53)</f>
        <v>9726111</v>
      </c>
      <c r="D54" s="150">
        <f t="shared" si="12"/>
        <v>0</v>
      </c>
      <c r="E54" s="150">
        <f t="shared" si="12"/>
        <v>9726111</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9726111</v>
      </c>
      <c r="S54" s="150">
        <f t="shared" si="12"/>
        <v>8049009</v>
      </c>
      <c r="T54" s="150">
        <f t="shared" si="12"/>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0</v>
      </c>
      <c r="C56" s="147"/>
      <c r="D56" s="147"/>
      <c r="E56" s="147"/>
      <c r="F56" s="147"/>
      <c r="G56" s="147"/>
      <c r="H56" s="147"/>
      <c r="I56" s="147"/>
      <c r="J56" s="147"/>
      <c r="K56" s="147"/>
      <c r="L56" s="147"/>
      <c r="M56" s="147"/>
      <c r="N56" s="147"/>
      <c r="O56" s="147"/>
      <c r="P56" s="147"/>
      <c r="Q56" s="147"/>
      <c r="R56" s="512">
        <f t="shared" ref="R56:R61" si="14">SUM(E56:Q56)</f>
        <v>0</v>
      </c>
      <c r="S56" s="148"/>
      <c r="T56" s="148"/>
      <c r="U56" s="143"/>
    </row>
    <row r="57" spans="1:21" s="192" customFormat="1">
      <c r="A57" s="186" t="s">
        <v>152</v>
      </c>
      <c r="B57" s="193">
        <f t="shared" si="13"/>
        <v>0</v>
      </c>
      <c r="C57" s="190"/>
      <c r="D57" s="190"/>
      <c r="E57" s="190"/>
      <c r="F57" s="190"/>
      <c r="G57" s="190"/>
      <c r="H57" s="190"/>
      <c r="I57" s="190"/>
      <c r="J57" s="190"/>
      <c r="K57" s="190"/>
      <c r="L57" s="190"/>
      <c r="M57" s="190"/>
      <c r="N57" s="190"/>
      <c r="O57" s="190"/>
      <c r="P57" s="190"/>
      <c r="Q57" s="190"/>
      <c r="R57" s="512">
        <f t="shared" si="14"/>
        <v>0</v>
      </c>
      <c r="S57" s="194"/>
      <c r="T57" s="194"/>
      <c r="U57" s="191"/>
    </row>
    <row r="58" spans="1:21" s="144" customFormat="1">
      <c r="A58" s="145" t="s">
        <v>156</v>
      </c>
      <c r="B58" s="146">
        <f t="shared" si="13"/>
        <v>10000</v>
      </c>
      <c r="C58" s="147">
        <v>10000</v>
      </c>
      <c r="D58" s="147"/>
      <c r="E58" s="147">
        <f>C58</f>
        <v>10000</v>
      </c>
      <c r="F58" s="147"/>
      <c r="G58" s="147"/>
      <c r="H58" s="147"/>
      <c r="I58" s="147"/>
      <c r="J58" s="147"/>
      <c r="K58" s="147"/>
      <c r="L58" s="147"/>
      <c r="M58" s="147"/>
      <c r="N58" s="147"/>
      <c r="O58" s="147"/>
      <c r="P58" s="147"/>
      <c r="Q58" s="147"/>
      <c r="R58" s="512">
        <f t="shared" si="14"/>
        <v>10000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2789</v>
      </c>
      <c r="B61" s="146">
        <f t="shared" si="13"/>
        <v>65000</v>
      </c>
      <c r="C61" s="147">
        <f>15000+50000</f>
        <v>65000</v>
      </c>
      <c r="D61" s="147"/>
      <c r="E61" s="147">
        <f>C61</f>
        <v>65000</v>
      </c>
      <c r="F61" s="147"/>
      <c r="G61" s="147"/>
      <c r="H61" s="147"/>
      <c r="I61" s="147"/>
      <c r="J61" s="147"/>
      <c r="K61" s="147"/>
      <c r="L61" s="147"/>
      <c r="M61" s="147"/>
      <c r="N61" s="147"/>
      <c r="O61" s="147"/>
      <c r="P61" s="147"/>
      <c r="Q61" s="147"/>
      <c r="R61" s="512">
        <f t="shared" si="14"/>
        <v>65000</v>
      </c>
      <c r="S61" s="148"/>
      <c r="T61" s="148"/>
      <c r="U61" s="143"/>
    </row>
    <row r="62" spans="1:21" s="144" customFormat="1" ht="13.65" customHeight="1">
      <c r="A62" s="149" t="s">
        <v>301</v>
      </c>
      <c r="B62" s="146">
        <f>SUM(C62:D62)</f>
        <v>75000</v>
      </c>
      <c r="C62" s="146">
        <f t="shared" ref="C62:R62" si="15">SUM(C56:C61)</f>
        <v>75000</v>
      </c>
      <c r="D62" s="146">
        <f t="shared" si="15"/>
        <v>0</v>
      </c>
      <c r="E62" s="146">
        <f t="shared" si="15"/>
        <v>75000</v>
      </c>
      <c r="F62" s="146">
        <f t="shared" si="15"/>
        <v>0</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75000</v>
      </c>
      <c r="S62" s="148"/>
      <c r="T62" s="148"/>
      <c r="U62" s="143"/>
    </row>
    <row r="63" spans="1:21" s="144" customFormat="1">
      <c r="A63" s="154" t="s">
        <v>302</v>
      </c>
      <c r="B63" s="146">
        <f t="shared" ref="B63:R63" si="16">SUM(B8+B11+B13+B14+B15+B26+B27+B38+B42+B43+B54+B62)</f>
        <v>59676112</v>
      </c>
      <c r="C63" s="146">
        <f t="shared" si="16"/>
        <v>59676112</v>
      </c>
      <c r="D63" s="146">
        <f t="shared" si="16"/>
        <v>0</v>
      </c>
      <c r="E63" s="146">
        <f t="shared" si="16"/>
        <v>18694287</v>
      </c>
      <c r="F63" s="146">
        <f t="shared" si="16"/>
        <v>21128698</v>
      </c>
      <c r="G63" s="146">
        <f t="shared" si="16"/>
        <v>54008</v>
      </c>
      <c r="H63" s="146">
        <f t="shared" si="16"/>
        <v>5000000</v>
      </c>
      <c r="I63" s="146">
        <f t="shared" si="16"/>
        <v>10900000</v>
      </c>
      <c r="J63" s="146">
        <f t="shared" si="16"/>
        <v>3899119</v>
      </c>
      <c r="K63" s="146">
        <f t="shared" si="16"/>
        <v>0</v>
      </c>
      <c r="L63" s="146">
        <f t="shared" si="16"/>
        <v>0</v>
      </c>
      <c r="M63" s="146">
        <f t="shared" si="16"/>
        <v>0</v>
      </c>
      <c r="N63" s="146">
        <f t="shared" si="16"/>
        <v>0</v>
      </c>
      <c r="O63" s="146">
        <f t="shared" si="16"/>
        <v>0</v>
      </c>
      <c r="P63" s="146">
        <f t="shared" si="16"/>
        <v>0</v>
      </c>
      <c r="Q63" s="146">
        <f t="shared" si="16"/>
        <v>0</v>
      </c>
      <c r="R63" s="339">
        <f t="shared" si="16"/>
        <v>59676112</v>
      </c>
      <c r="S63" s="146">
        <f>SUM(S10+S13+S14+S15+S26+S27+S38+S42+S43+S54)</f>
        <v>57924010</v>
      </c>
      <c r="T63" s="146">
        <f>SUM(T11+T13+T14+T15+T26+T27+T38+T42+T43+T54)</f>
        <v>0</v>
      </c>
      <c r="U63" s="143"/>
    </row>
    <row r="64" spans="1:21" s="144" customFormat="1" ht="22.8">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100000</v>
      </c>
      <c r="C65" s="147">
        <v>100000</v>
      </c>
      <c r="D65" s="147"/>
      <c r="E65" s="147">
        <f>C65</f>
        <v>100000</v>
      </c>
      <c r="F65" s="147"/>
      <c r="G65" s="147"/>
      <c r="H65" s="147"/>
      <c r="I65" s="147"/>
      <c r="J65" s="147"/>
      <c r="K65" s="147"/>
      <c r="L65" s="147"/>
      <c r="M65" s="147"/>
      <c r="N65" s="147"/>
      <c r="O65" s="147"/>
      <c r="P65" s="147"/>
      <c r="Q65" s="147"/>
      <c r="R65" s="512">
        <f>SUM(E65:Q65)</f>
        <v>100000</v>
      </c>
      <c r="S65" s="147">
        <v>100000</v>
      </c>
      <c r="T65" s="147"/>
      <c r="U65" s="143"/>
    </row>
    <row r="66" spans="1:21" s="144" customFormat="1" ht="24" customHeight="1">
      <c r="A66" s="283" t="s">
        <v>1627</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2823</v>
      </c>
      <c r="B69" s="146">
        <f>SUM(C69+D69)</f>
        <v>350000</v>
      </c>
      <c r="C69" s="147">
        <f>75000+50000+50000+50000+125000</f>
        <v>350000</v>
      </c>
      <c r="D69" s="147"/>
      <c r="E69" s="147">
        <f>C69</f>
        <v>350000</v>
      </c>
      <c r="F69" s="147"/>
      <c r="G69" s="147"/>
      <c r="H69" s="147"/>
      <c r="I69" s="147"/>
      <c r="J69" s="147"/>
      <c r="K69" s="147"/>
      <c r="L69" s="147"/>
      <c r="M69" s="147"/>
      <c r="N69" s="147"/>
      <c r="O69" s="147"/>
      <c r="P69" s="147"/>
      <c r="Q69" s="147"/>
      <c r="R69" s="512">
        <f>SUM(E69:Q69)</f>
        <v>350000</v>
      </c>
      <c r="S69" s="147">
        <v>75000</v>
      </c>
      <c r="T69" s="147"/>
      <c r="U69" s="143"/>
    </row>
    <row r="70" spans="1:21" s="144" customFormat="1" ht="12">
      <c r="A70" s="149" t="s">
        <v>1631</v>
      </c>
      <c r="B70" s="146">
        <f>SUM(C70:D70)</f>
        <v>450000</v>
      </c>
      <c r="C70" s="146">
        <f>SUM(C65:C69)</f>
        <v>450000</v>
      </c>
      <c r="D70" s="146">
        <f>SUM(D65:D69)</f>
        <v>0</v>
      </c>
      <c r="E70" s="146">
        <f t="shared" ref="E70:T70" si="17">SUM(E65:E69)</f>
        <v>450000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450000</v>
      </c>
      <c r="S70" s="150">
        <f t="shared" si="17"/>
        <v>175000</v>
      </c>
      <c r="T70" s="150">
        <f t="shared" si="17"/>
        <v>0</v>
      </c>
      <c r="U70" s="143"/>
    </row>
    <row r="71" spans="1:21" s="144" customFormat="1">
      <c r="A71" s="141" t="s">
        <v>600</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601</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602</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603</v>
      </c>
      <c r="B75" s="146">
        <f>SUM(C75+D75)</f>
        <v>782824</v>
      </c>
      <c r="C75" s="147">
        <v>782824</v>
      </c>
      <c r="D75" s="147"/>
      <c r="E75" s="147">
        <f>C75</f>
        <v>782824</v>
      </c>
      <c r="F75" s="147"/>
      <c r="G75" s="147"/>
      <c r="H75" s="147"/>
      <c r="I75" s="147"/>
      <c r="J75" s="147"/>
      <c r="K75" s="147"/>
      <c r="L75" s="147"/>
      <c r="M75" s="147"/>
      <c r="N75" s="147"/>
      <c r="O75" s="147"/>
      <c r="P75" s="147"/>
      <c r="Q75" s="147"/>
      <c r="R75" s="512">
        <f>SUM(E75:Q75)</f>
        <v>782824</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ht="12">
      <c r="A77" s="149" t="s">
        <v>604</v>
      </c>
      <c r="B77" s="146">
        <f>SUM(C77:D77)</f>
        <v>782824</v>
      </c>
      <c r="C77" s="146">
        <f>SUM(C72:C76)</f>
        <v>782824</v>
      </c>
      <c r="D77" s="146">
        <f>SUM(D72:D76)</f>
        <v>0</v>
      </c>
      <c r="E77" s="146">
        <f t="shared" ref="E77:Q77" si="18">SUM(E72:E76)</f>
        <v>782824</v>
      </c>
      <c r="F77" s="146">
        <f t="shared" si="18"/>
        <v>0</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782824</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2401250</v>
      </c>
      <c r="C79" s="147">
        <v>2401250</v>
      </c>
      <c r="D79" s="147"/>
      <c r="E79" s="147" cm="1">
        <f t="array" ref="E79:E80">C79:C80</f>
        <v>2401250</v>
      </c>
      <c r="F79" s="147"/>
      <c r="G79" s="147"/>
      <c r="H79" s="147"/>
      <c r="I79" s="147"/>
      <c r="J79" s="147"/>
      <c r="K79" s="147"/>
      <c r="L79" s="147"/>
      <c r="M79" s="147"/>
      <c r="N79" s="147"/>
      <c r="O79" s="147"/>
      <c r="P79" s="147"/>
      <c r="Q79" s="147"/>
      <c r="R79" s="512">
        <f>SUM(E79:Q79)</f>
        <v>2401250</v>
      </c>
      <c r="S79" s="147" cm="1">
        <f t="array" ref="S79:S80">R79:R80</f>
        <v>2401250</v>
      </c>
      <c r="T79" s="147"/>
      <c r="U79" s="143"/>
    </row>
    <row r="80" spans="1:21" s="144" customFormat="1">
      <c r="A80" s="283" t="s">
        <v>58</v>
      </c>
      <c r="B80" s="146">
        <f>SUM(C80:D80)</f>
        <v>812455</v>
      </c>
      <c r="C80" s="147">
        <v>812455</v>
      </c>
      <c r="D80" s="147"/>
      <c r="E80" s="147">
        <v>812455</v>
      </c>
      <c r="F80" s="147"/>
      <c r="G80" s="147"/>
      <c r="H80" s="147"/>
      <c r="I80" s="147"/>
      <c r="J80" s="147"/>
      <c r="K80" s="147"/>
      <c r="L80" s="147"/>
      <c r="M80" s="147"/>
      <c r="N80" s="147"/>
      <c r="O80" s="147"/>
      <c r="P80" s="147"/>
      <c r="Q80" s="147"/>
      <c r="R80" s="512">
        <f>SUM(E80:Q80)</f>
        <v>812455</v>
      </c>
      <c r="S80" s="147">
        <v>812455</v>
      </c>
      <c r="T80" s="147"/>
      <c r="U80" s="143"/>
    </row>
    <row r="81" spans="1:21" s="144" customFormat="1" ht="12">
      <c r="A81" s="149" t="s">
        <v>1206</v>
      </c>
      <c r="B81" s="146">
        <f>SUM(C81:D81)</f>
        <v>3213705</v>
      </c>
      <c r="C81" s="505">
        <f>SUM(C79:C80)</f>
        <v>3213705</v>
      </c>
      <c r="D81" s="505">
        <f t="shared" ref="D81:T81" si="19">SUM(D79:D80)</f>
        <v>0</v>
      </c>
      <c r="E81" s="505">
        <f t="shared" si="19"/>
        <v>3213705</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3213705</v>
      </c>
      <c r="S81" s="505">
        <f t="shared" si="19"/>
        <v>3213705</v>
      </c>
      <c r="T81" s="505">
        <f t="shared" si="19"/>
        <v>0</v>
      </c>
      <c r="U81" s="143"/>
    </row>
    <row r="82" spans="1:21" s="144" customFormat="1">
      <c r="A82" s="141" t="s">
        <v>763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65" customHeight="1">
      <c r="A83" s="145" t="s">
        <v>2042</v>
      </c>
      <c r="B83" s="146">
        <f t="shared" ref="B83:B95" si="20">SUM(C83+D83)</f>
        <v>120352</v>
      </c>
      <c r="C83" s="147">
        <v>120352</v>
      </c>
      <c r="D83" s="147"/>
      <c r="E83" s="147" cm="1">
        <f t="array" ref="E83:E86">C83:C86</f>
        <v>120352</v>
      </c>
      <c r="F83" s="147"/>
      <c r="G83" s="147"/>
      <c r="H83" s="147"/>
      <c r="I83" s="147"/>
      <c r="J83" s="147"/>
      <c r="K83" s="147"/>
      <c r="L83" s="147"/>
      <c r="M83" s="147"/>
      <c r="N83" s="147"/>
      <c r="O83" s="147"/>
      <c r="P83" s="147"/>
      <c r="Q83" s="147"/>
      <c r="R83" s="512">
        <f t="shared" ref="R83:R95" si="21">SUM(E83:Q83)</f>
        <v>120352</v>
      </c>
      <c r="S83" s="148"/>
      <c r="T83" s="148"/>
      <c r="U83" s="143"/>
    </row>
    <row r="84" spans="1:21" s="144" customFormat="1">
      <c r="A84" s="145" t="s">
        <v>765</v>
      </c>
      <c r="B84" s="146">
        <f t="shared" si="20"/>
        <v>50000</v>
      </c>
      <c r="C84" s="147">
        <v>50000</v>
      </c>
      <c r="D84" s="147"/>
      <c r="E84" s="147">
        <v>50000</v>
      </c>
      <c r="F84" s="147"/>
      <c r="G84" s="147"/>
      <c r="H84" s="147"/>
      <c r="I84" s="147"/>
      <c r="J84" s="147"/>
      <c r="K84" s="147"/>
      <c r="L84" s="147"/>
      <c r="M84" s="147"/>
      <c r="N84" s="147"/>
      <c r="O84" s="147"/>
      <c r="P84" s="147"/>
      <c r="Q84" s="147"/>
      <c r="R84" s="512">
        <f t="shared" si="21"/>
        <v>50000</v>
      </c>
      <c r="S84" s="147" cm="1">
        <f t="array" ref="S84:S86">R84:R86</f>
        <v>50000</v>
      </c>
      <c r="T84" s="147"/>
      <c r="U84" s="143"/>
    </row>
    <row r="85" spans="1:21" s="144" customFormat="1">
      <c r="A85" s="145" t="s">
        <v>766</v>
      </c>
      <c r="B85" s="146">
        <f t="shared" si="20"/>
        <v>3263654</v>
      </c>
      <c r="C85" s="147">
        <v>3263654</v>
      </c>
      <c r="D85" s="147"/>
      <c r="E85" s="147">
        <v>3263654</v>
      </c>
      <c r="F85" s="147"/>
      <c r="G85" s="147"/>
      <c r="H85" s="147"/>
      <c r="I85" s="147"/>
      <c r="J85" s="147"/>
      <c r="K85" s="147"/>
      <c r="L85" s="147"/>
      <c r="M85" s="147"/>
      <c r="N85" s="147"/>
      <c r="O85" s="147"/>
      <c r="P85" s="147"/>
      <c r="Q85" s="147"/>
      <c r="R85" s="512">
        <f t="shared" si="21"/>
        <v>3263654</v>
      </c>
      <c r="S85" s="147">
        <v>3263654</v>
      </c>
      <c r="T85" s="147"/>
      <c r="U85" s="143"/>
    </row>
    <row r="86" spans="1:21" s="144" customFormat="1">
      <c r="A86" s="145" t="s">
        <v>767</v>
      </c>
      <c r="B86" s="146">
        <f t="shared" si="20"/>
        <v>691346</v>
      </c>
      <c r="C86" s="147">
        <v>691346</v>
      </c>
      <c r="D86" s="147"/>
      <c r="E86" s="147">
        <v>691346</v>
      </c>
      <c r="F86" s="147"/>
      <c r="G86" s="147"/>
      <c r="H86" s="147"/>
      <c r="I86" s="147"/>
      <c r="J86" s="147"/>
      <c r="K86" s="147"/>
      <c r="L86" s="147"/>
      <c r="M86" s="147"/>
      <c r="N86" s="147"/>
      <c r="O86" s="147"/>
      <c r="P86" s="147"/>
      <c r="Q86" s="147"/>
      <c r="R86" s="512">
        <f t="shared" si="21"/>
        <v>691346</v>
      </c>
      <c r="S86" s="147">
        <v>691346</v>
      </c>
      <c r="T86" s="147"/>
      <c r="U86" s="143"/>
    </row>
    <row r="87" spans="1:21" s="144" customFormat="1">
      <c r="A87" s="145" t="s">
        <v>768</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769</v>
      </c>
      <c r="B88" s="146">
        <f t="shared" si="20"/>
        <v>150000</v>
      </c>
      <c r="C88" s="147">
        <v>150000</v>
      </c>
      <c r="D88" s="147"/>
      <c r="E88" s="147" cm="1">
        <f t="array" ref="E88:E95">C88:C95</f>
        <v>150000</v>
      </c>
      <c r="F88" s="147"/>
      <c r="G88" s="147"/>
      <c r="H88" s="147"/>
      <c r="I88" s="147"/>
      <c r="J88" s="147"/>
      <c r="K88" s="147"/>
      <c r="L88" s="147"/>
      <c r="M88" s="147"/>
      <c r="N88" s="147"/>
      <c r="O88" s="147"/>
      <c r="P88" s="147"/>
      <c r="Q88" s="147"/>
      <c r="R88" s="512">
        <f t="shared" si="21"/>
        <v>150000</v>
      </c>
      <c r="S88" s="148"/>
      <c r="T88" s="148"/>
      <c r="U88" s="143"/>
    </row>
    <row r="89" spans="1:21" s="144" customFormat="1">
      <c r="A89" s="145" t="s">
        <v>770</v>
      </c>
      <c r="B89" s="146">
        <f t="shared" si="20"/>
        <v>150000</v>
      </c>
      <c r="C89" s="147">
        <v>150000</v>
      </c>
      <c r="D89" s="147"/>
      <c r="E89" s="147">
        <v>150000</v>
      </c>
      <c r="F89" s="147"/>
      <c r="G89" s="147"/>
      <c r="H89" s="147"/>
      <c r="I89" s="147"/>
      <c r="J89" s="147"/>
      <c r="K89" s="147"/>
      <c r="L89" s="147"/>
      <c r="M89" s="147"/>
      <c r="N89" s="147"/>
      <c r="O89" s="147"/>
      <c r="P89" s="147"/>
      <c r="Q89" s="147"/>
      <c r="R89" s="512">
        <f t="shared" si="21"/>
        <v>150000</v>
      </c>
      <c r="S89" s="147" cm="1">
        <f t="array" ref="S89:S92">R89:R92</f>
        <v>150000</v>
      </c>
      <c r="T89" s="147"/>
      <c r="U89" s="143"/>
    </row>
    <row r="90" spans="1:21" s="144" customFormat="1">
      <c r="A90" s="145" t="s">
        <v>771</v>
      </c>
      <c r="B90" s="146">
        <f t="shared" si="20"/>
        <v>15000</v>
      </c>
      <c r="C90" s="147">
        <v>15000</v>
      </c>
      <c r="D90" s="147"/>
      <c r="E90" s="147">
        <v>15000</v>
      </c>
      <c r="F90" s="147"/>
      <c r="G90" s="147"/>
      <c r="H90" s="147"/>
      <c r="I90" s="147"/>
      <c r="J90" s="147"/>
      <c r="K90" s="147"/>
      <c r="L90" s="147"/>
      <c r="M90" s="147"/>
      <c r="N90" s="147"/>
      <c r="O90" s="147"/>
      <c r="P90" s="147"/>
      <c r="Q90" s="147"/>
      <c r="R90" s="512">
        <f t="shared" si="21"/>
        <v>15000</v>
      </c>
      <c r="S90" s="147">
        <v>15000</v>
      </c>
      <c r="T90" s="147"/>
      <c r="U90" s="143"/>
    </row>
    <row r="91" spans="1:21" s="144" customFormat="1">
      <c r="A91" s="145" t="s">
        <v>371</v>
      </c>
      <c r="B91" s="146">
        <f t="shared" si="20"/>
        <v>50000</v>
      </c>
      <c r="C91" s="147">
        <v>50000</v>
      </c>
      <c r="D91" s="147"/>
      <c r="E91" s="147">
        <v>50000</v>
      </c>
      <c r="F91" s="147"/>
      <c r="G91" s="147"/>
      <c r="H91" s="147"/>
      <c r="I91" s="147"/>
      <c r="J91" s="147"/>
      <c r="K91" s="147"/>
      <c r="L91" s="147"/>
      <c r="M91" s="147"/>
      <c r="N91" s="147"/>
      <c r="O91" s="147"/>
      <c r="P91" s="147"/>
      <c r="Q91" s="147"/>
      <c r="R91" s="512">
        <f t="shared" si="21"/>
        <v>50000</v>
      </c>
      <c r="S91" s="147">
        <v>50000</v>
      </c>
      <c r="T91" s="147"/>
      <c r="U91" s="143"/>
    </row>
    <row r="92" spans="1:21" s="144" customFormat="1">
      <c r="A92" s="283" t="s">
        <v>1208</v>
      </c>
      <c r="B92" s="146">
        <f t="shared" si="20"/>
        <v>20000</v>
      </c>
      <c r="C92" s="147">
        <v>20000</v>
      </c>
      <c r="D92" s="147"/>
      <c r="E92" s="147">
        <v>20000</v>
      </c>
      <c r="F92" s="147"/>
      <c r="G92" s="147"/>
      <c r="H92" s="147"/>
      <c r="I92" s="147"/>
      <c r="J92" s="147"/>
      <c r="K92" s="147"/>
      <c r="L92" s="147"/>
      <c r="M92" s="147"/>
      <c r="N92" s="147"/>
      <c r="O92" s="147"/>
      <c r="P92" s="147"/>
      <c r="Q92" s="147"/>
      <c r="R92" s="512">
        <f t="shared" si="21"/>
        <v>20000</v>
      </c>
      <c r="S92" s="147">
        <v>20000</v>
      </c>
      <c r="T92" s="147"/>
      <c r="U92" s="143"/>
    </row>
    <row r="93" spans="1:21" s="144" customFormat="1">
      <c r="A93" s="1138" t="s">
        <v>2790</v>
      </c>
      <c r="B93" s="146">
        <f t="shared" si="20"/>
        <v>13395</v>
      </c>
      <c r="C93" s="147">
        <f>6000+7395</f>
        <v>13395</v>
      </c>
      <c r="D93" s="147"/>
      <c r="E93" s="147">
        <v>13395</v>
      </c>
      <c r="F93" s="147"/>
      <c r="G93" s="147"/>
      <c r="H93" s="147"/>
      <c r="I93" s="147"/>
      <c r="J93" s="147"/>
      <c r="K93" s="147"/>
      <c r="L93" s="147"/>
      <c r="M93" s="147"/>
      <c r="N93" s="147"/>
      <c r="O93" s="147"/>
      <c r="P93" s="147"/>
      <c r="Q93" s="147"/>
      <c r="R93" s="512">
        <f t="shared" si="21"/>
        <v>13395</v>
      </c>
      <c r="S93" s="147">
        <v>7395</v>
      </c>
      <c r="T93" s="147"/>
      <c r="U93" s="143"/>
    </row>
    <row r="94" spans="1:21" s="144" customFormat="1">
      <c r="A94" s="1138" t="s">
        <v>2791</v>
      </c>
      <c r="B94" s="146">
        <f t="shared" si="20"/>
        <v>500000</v>
      </c>
      <c r="C94" s="147">
        <v>500000</v>
      </c>
      <c r="D94" s="147"/>
      <c r="E94" s="147">
        <v>500000</v>
      </c>
      <c r="F94" s="147"/>
      <c r="G94" s="147"/>
      <c r="H94" s="147"/>
      <c r="I94" s="147"/>
      <c r="J94" s="147"/>
      <c r="K94" s="147"/>
      <c r="L94" s="147"/>
      <c r="M94" s="147"/>
      <c r="N94" s="147"/>
      <c r="O94" s="147"/>
      <c r="P94" s="147"/>
      <c r="Q94" s="147"/>
      <c r="R94" s="512">
        <f t="shared" si="21"/>
        <v>500000</v>
      </c>
      <c r="S94" s="147" cm="1">
        <f t="array" ref="S94:S95">R94:R95</f>
        <v>500000</v>
      </c>
      <c r="T94" s="147"/>
      <c r="U94" s="143"/>
    </row>
    <row r="95" spans="1:21" s="144" customFormat="1">
      <c r="A95" s="1138" t="s">
        <v>2792</v>
      </c>
      <c r="B95" s="146">
        <f t="shared" si="20"/>
        <v>750000</v>
      </c>
      <c r="C95" s="147">
        <v>750000</v>
      </c>
      <c r="D95" s="147"/>
      <c r="E95" s="147">
        <v>750000</v>
      </c>
      <c r="F95" s="147"/>
      <c r="G95" s="147"/>
      <c r="H95" s="147"/>
      <c r="I95" s="147"/>
      <c r="J95" s="147"/>
      <c r="K95" s="147"/>
      <c r="L95" s="147"/>
      <c r="M95" s="147"/>
      <c r="N95" s="147"/>
      <c r="O95" s="147"/>
      <c r="P95" s="147"/>
      <c r="Q95" s="147"/>
      <c r="R95" s="512">
        <f t="shared" si="21"/>
        <v>750000</v>
      </c>
      <c r="S95" s="147">
        <v>750000</v>
      </c>
      <c r="T95" s="147"/>
      <c r="U95" s="143"/>
    </row>
    <row r="96" spans="1:21" s="144" customFormat="1" ht="12">
      <c r="A96" s="149" t="s">
        <v>772</v>
      </c>
      <c r="B96" s="146">
        <f>SUM(C96:D96)</f>
        <v>5773747</v>
      </c>
      <c r="C96" s="146">
        <f t="shared" ref="C96:R96" si="22">SUM(C83:C95)</f>
        <v>5773747</v>
      </c>
      <c r="D96" s="146">
        <f t="shared" si="22"/>
        <v>0</v>
      </c>
      <c r="E96" s="146">
        <f t="shared" si="22"/>
        <v>5773747</v>
      </c>
      <c r="F96" s="146">
        <f t="shared" si="22"/>
        <v>0</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5773747</v>
      </c>
      <c r="S96" s="150">
        <f>SUM(S84:S87,S89:S95)</f>
        <v>5497395</v>
      </c>
      <c r="T96" s="146">
        <f>SUM(T84:T87,T89:T95)</f>
        <v>0</v>
      </c>
      <c r="U96" s="143"/>
    </row>
    <row r="97" spans="1:21" s="144" customFormat="1" ht="12">
      <c r="A97" s="149" t="s">
        <v>773</v>
      </c>
      <c r="B97" s="146">
        <f>SUM(C97:D97)</f>
        <v>69896388</v>
      </c>
      <c r="C97" s="146">
        <f t="shared" ref="C97:R97" si="23">SUM(C63+C70+C77+C81+C96)</f>
        <v>69896388</v>
      </c>
      <c r="D97" s="146">
        <f t="shared" si="23"/>
        <v>0</v>
      </c>
      <c r="E97" s="146">
        <f t="shared" si="23"/>
        <v>28914563</v>
      </c>
      <c r="F97" s="146">
        <f t="shared" si="23"/>
        <v>21128698</v>
      </c>
      <c r="G97" s="146">
        <f t="shared" si="23"/>
        <v>54008</v>
      </c>
      <c r="H97" s="146">
        <f t="shared" si="23"/>
        <v>5000000</v>
      </c>
      <c r="I97" s="146">
        <f t="shared" si="23"/>
        <v>10900000</v>
      </c>
      <c r="J97" s="146">
        <f t="shared" si="23"/>
        <v>3899119</v>
      </c>
      <c r="K97" s="146">
        <f t="shared" si="23"/>
        <v>0</v>
      </c>
      <c r="L97" s="146">
        <f t="shared" si="23"/>
        <v>0</v>
      </c>
      <c r="M97" s="146">
        <f t="shared" si="23"/>
        <v>0</v>
      </c>
      <c r="N97" s="146">
        <f t="shared" si="23"/>
        <v>0</v>
      </c>
      <c r="O97" s="146">
        <f t="shared" si="23"/>
        <v>0</v>
      </c>
      <c r="P97" s="146">
        <f t="shared" si="23"/>
        <v>0</v>
      </c>
      <c r="Q97" s="146">
        <f t="shared" si="23"/>
        <v>0</v>
      </c>
      <c r="R97" s="146">
        <f t="shared" si="23"/>
        <v>69896388</v>
      </c>
      <c r="S97" s="146">
        <f>SUM(S63+S70+S81+S96)</f>
        <v>66810110</v>
      </c>
      <c r="T97" s="146">
        <f>SUM(T63+T70+T81+T96)</f>
        <v>0</v>
      </c>
      <c r="U97" s="143"/>
    </row>
    <row r="98" spans="1:21" s="144" customFormat="1">
      <c r="A98" s="141" t="s">
        <v>774</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775</v>
      </c>
      <c r="B99" s="146">
        <f>SUM(C99+D99)</f>
        <v>10021516</v>
      </c>
      <c r="C99" s="969">
        <v>10021516</v>
      </c>
      <c r="D99" s="969"/>
      <c r="E99" s="969">
        <f>C99-K99</f>
        <v>3843167</v>
      </c>
      <c r="F99" s="147"/>
      <c r="G99" s="147"/>
      <c r="H99" s="147"/>
      <c r="I99" s="147"/>
      <c r="J99" s="147"/>
      <c r="K99" s="147">
        <v>6178349</v>
      </c>
      <c r="L99" s="147"/>
      <c r="M99" s="147"/>
      <c r="N99" s="147"/>
      <c r="O99" s="147"/>
      <c r="P99" s="147"/>
      <c r="Q99" s="147"/>
      <c r="R99" s="512">
        <f>SUM(E99:Q99)</f>
        <v>10021516</v>
      </c>
      <c r="S99" s="147">
        <f>R99</f>
        <v>10021516</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776</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2">
      <c r="A104" s="149" t="s">
        <v>777</v>
      </c>
      <c r="B104" s="146">
        <f>SUM(C104:D104)</f>
        <v>10021516</v>
      </c>
      <c r="C104" s="146">
        <f>SUM(C99:C103)</f>
        <v>10021516</v>
      </c>
      <c r="D104" s="146">
        <f t="shared" ref="D104:T104" si="24">SUM(D99:D103)</f>
        <v>0</v>
      </c>
      <c r="E104" s="146">
        <f t="shared" si="24"/>
        <v>3843167</v>
      </c>
      <c r="F104" s="146">
        <f t="shared" si="24"/>
        <v>0</v>
      </c>
      <c r="G104" s="146">
        <f t="shared" si="24"/>
        <v>0</v>
      </c>
      <c r="H104" s="146">
        <f t="shared" si="24"/>
        <v>0</v>
      </c>
      <c r="I104" s="146">
        <f t="shared" si="24"/>
        <v>0</v>
      </c>
      <c r="J104" s="146">
        <f t="shared" si="24"/>
        <v>0</v>
      </c>
      <c r="K104" s="146">
        <f t="shared" si="24"/>
        <v>6178349</v>
      </c>
      <c r="L104" s="146">
        <f t="shared" si="24"/>
        <v>0</v>
      </c>
      <c r="M104" s="146">
        <f t="shared" si="24"/>
        <v>0</v>
      </c>
      <c r="N104" s="146">
        <f t="shared" si="24"/>
        <v>0</v>
      </c>
      <c r="O104" s="146">
        <f t="shared" si="24"/>
        <v>0</v>
      </c>
      <c r="P104" s="146">
        <f t="shared" si="24"/>
        <v>0</v>
      </c>
      <c r="Q104" s="146">
        <f t="shared" si="24"/>
        <v>0</v>
      </c>
      <c r="R104" s="339">
        <f t="shared" si="24"/>
        <v>10021516</v>
      </c>
      <c r="S104" s="150">
        <f t="shared" si="24"/>
        <v>10021516</v>
      </c>
      <c r="T104" s="150">
        <f t="shared" si="24"/>
        <v>0</v>
      </c>
      <c r="U104" s="143"/>
    </row>
    <row r="105" spans="1:21" s="144" customFormat="1" ht="12">
      <c r="A105" s="149" t="s">
        <v>778</v>
      </c>
      <c r="B105" s="150">
        <f>SUM(C105:D105)</f>
        <v>79917904</v>
      </c>
      <c r="C105" s="150">
        <f t="shared" ref="C105:R105" si="25">SUM(C97+C104)</f>
        <v>79917904</v>
      </c>
      <c r="D105" s="150">
        <f t="shared" si="25"/>
        <v>0</v>
      </c>
      <c r="E105" s="150">
        <f t="shared" si="25"/>
        <v>32757730</v>
      </c>
      <c r="F105" s="150">
        <f t="shared" si="25"/>
        <v>21128698</v>
      </c>
      <c r="G105" s="150">
        <f t="shared" si="25"/>
        <v>54008</v>
      </c>
      <c r="H105" s="150">
        <f t="shared" si="25"/>
        <v>5000000</v>
      </c>
      <c r="I105" s="150">
        <f t="shared" si="25"/>
        <v>10900000</v>
      </c>
      <c r="J105" s="150">
        <f t="shared" si="25"/>
        <v>3899119</v>
      </c>
      <c r="K105" s="150">
        <f t="shared" si="25"/>
        <v>6178349</v>
      </c>
      <c r="L105" s="150">
        <f t="shared" si="25"/>
        <v>0</v>
      </c>
      <c r="M105" s="150">
        <f t="shared" si="25"/>
        <v>0</v>
      </c>
      <c r="N105" s="150">
        <f t="shared" si="25"/>
        <v>0</v>
      </c>
      <c r="O105" s="150">
        <f t="shared" si="25"/>
        <v>0</v>
      </c>
      <c r="P105" s="150">
        <f t="shared" si="25"/>
        <v>0</v>
      </c>
      <c r="Q105" s="150">
        <f t="shared" si="25"/>
        <v>0</v>
      </c>
      <c r="R105" s="339">
        <f t="shared" si="25"/>
        <v>79917904</v>
      </c>
      <c r="S105" s="150">
        <f>S97+S104</f>
        <v>76831626</v>
      </c>
      <c r="T105" s="150">
        <f>T97+T104</f>
        <v>0</v>
      </c>
      <c r="U105" s="143"/>
    </row>
    <row r="106" spans="1:21" ht="12">
      <c r="A106" s="510" t="s">
        <v>1018</v>
      </c>
      <c r="B106" s="157"/>
      <c r="C106" s="157"/>
      <c r="D106" s="157"/>
      <c r="H106" s="159" t="s">
        <v>92</v>
      </c>
      <c r="I106" s="159"/>
      <c r="J106" s="159"/>
      <c r="R106" s="160" t="s">
        <v>93</v>
      </c>
      <c r="S106" s="147"/>
      <c r="T106" s="147"/>
    </row>
    <row r="107" spans="1:21" ht="12">
      <c r="A107" s="157" t="s">
        <v>184</v>
      </c>
      <c r="C107" s="157"/>
      <c r="D107" s="157"/>
      <c r="I107" s="162" t="s">
        <v>350</v>
      </c>
      <c r="J107" s="162"/>
      <c r="R107" s="160" t="s">
        <v>94</v>
      </c>
      <c r="S107" s="150">
        <f>S105+S106</f>
        <v>76831626</v>
      </c>
      <c r="T107" s="150">
        <f>T105+T106</f>
        <v>0</v>
      </c>
    </row>
    <row r="108" spans="1:21" s="189" customFormat="1" ht="12">
      <c r="A108" s="162" t="s">
        <v>877</v>
      </c>
      <c r="B108" s="157"/>
      <c r="C108" s="157"/>
      <c r="D108" s="157"/>
      <c r="E108" s="301">
        <f>Application!AO648</f>
        <v>32757730</v>
      </c>
      <c r="F108" s="301">
        <f>Application!AO635</f>
        <v>21128698</v>
      </c>
      <c r="G108" s="301">
        <f>Application!AO636</f>
        <v>54008</v>
      </c>
      <c r="H108" s="301">
        <f>Application!AO637</f>
        <v>5000000</v>
      </c>
      <c r="I108" s="301">
        <f>Application!AO638</f>
        <v>10900000</v>
      </c>
      <c r="J108" s="301">
        <f>Application!AO639</f>
        <v>3899119</v>
      </c>
      <c r="K108" s="301">
        <f>Application!AO640</f>
        <v>6178349</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99999999999999" customHeight="1">
      <c r="A109" s="157"/>
      <c r="B109" s="157"/>
      <c r="C109" s="157"/>
      <c r="D109" s="157"/>
    </row>
    <row r="110" spans="1:21" ht="12">
      <c r="A110" s="162" t="s">
        <v>956</v>
      </c>
      <c r="B110" s="157"/>
      <c r="C110" s="157"/>
      <c r="D110" s="157"/>
    </row>
    <row r="111" spans="1:21" ht="12">
      <c r="A111" s="156" t="s">
        <v>957</v>
      </c>
      <c r="B111" s="157"/>
      <c r="C111" s="157"/>
      <c r="D111" s="157"/>
    </row>
    <row r="112" spans="1:21" ht="12" customHeight="1">
      <c r="A112" s="312"/>
      <c r="B112" s="157"/>
      <c r="C112" s="157"/>
      <c r="D112" s="157"/>
    </row>
    <row r="113" spans="1:21" ht="12">
      <c r="A113" s="156" t="s">
        <v>1017</v>
      </c>
      <c r="B113" s="157"/>
      <c r="C113" s="157"/>
      <c r="D113" s="157"/>
    </row>
    <row r="114" spans="1:21" ht="12">
      <c r="A114" s="156" t="s">
        <v>2043</v>
      </c>
      <c r="B114" s="157"/>
      <c r="C114" s="157"/>
      <c r="D114" s="157"/>
    </row>
    <row r="115" spans="1:21" ht="12" customHeight="1">
      <c r="A115" s="312"/>
      <c r="B115" s="157"/>
      <c r="C115" s="157"/>
      <c r="D115" s="157"/>
    </row>
    <row r="116" spans="1:21" ht="12">
      <c r="A116" s="342" t="s">
        <v>1020</v>
      </c>
      <c r="B116" s="157"/>
      <c r="C116" s="157"/>
      <c r="D116" s="157"/>
    </row>
    <row r="117" spans="1:21" ht="12">
      <c r="A117" s="342" t="s">
        <v>1220</v>
      </c>
      <c r="B117" s="157"/>
      <c r="C117" s="157"/>
      <c r="D117" s="157"/>
    </row>
    <row r="118" spans="1:21" ht="12">
      <c r="A118" s="342" t="s">
        <v>1019</v>
      </c>
      <c r="B118" s="157"/>
      <c r="C118" s="157"/>
      <c r="D118" s="157"/>
    </row>
    <row r="119" spans="1:21" ht="12">
      <c r="A119" s="342" t="s">
        <v>1021</v>
      </c>
      <c r="B119" s="157"/>
      <c r="C119" s="157"/>
      <c r="D119" s="157"/>
    </row>
    <row r="120" spans="1:21" ht="12" customHeight="1">
      <c r="A120" s="341"/>
      <c r="B120" s="157"/>
      <c r="C120" s="157"/>
      <c r="D120" s="157"/>
    </row>
    <row r="121" spans="1:21" ht="15.6">
      <c r="A121" s="335" t="s">
        <v>1003</v>
      </c>
      <c r="B121" s="157"/>
      <c r="C121" s="157"/>
      <c r="D121" s="157"/>
    </row>
    <row r="122" spans="1:21">
      <c r="A122" s="322" t="s">
        <v>987</v>
      </c>
      <c r="B122" s="321"/>
      <c r="C122" s="321"/>
      <c r="D122" s="1952" t="s">
        <v>988</v>
      </c>
      <c r="E122" s="1952"/>
      <c r="F122" s="1952"/>
      <c r="G122" s="321"/>
      <c r="H122" s="321"/>
      <c r="I122" s="321"/>
      <c r="J122" s="321"/>
      <c r="K122" s="321"/>
      <c r="L122" s="321"/>
      <c r="M122" s="321"/>
      <c r="N122" s="321"/>
      <c r="O122" s="321"/>
      <c r="P122" s="321"/>
      <c r="Q122" s="321"/>
      <c r="R122" s="321"/>
      <c r="S122" s="321"/>
      <c r="T122" s="321"/>
      <c r="U122" s="323"/>
    </row>
    <row r="123" spans="1:21">
      <c r="A123" s="321" t="s">
        <v>989</v>
      </c>
      <c r="B123" s="330"/>
      <c r="C123" s="321"/>
      <c r="D123" s="1954" t="s">
        <v>1221</v>
      </c>
      <c r="E123" s="1874"/>
      <c r="F123" s="1874"/>
      <c r="G123" s="1874"/>
      <c r="H123" s="1874"/>
      <c r="I123" s="1874"/>
      <c r="J123" s="1874"/>
      <c r="K123" s="1874"/>
      <c r="L123" s="1874"/>
      <c r="M123" s="1874"/>
      <c r="N123" s="1874"/>
      <c r="O123" s="1874"/>
      <c r="P123" s="1874"/>
      <c r="Q123" s="1874"/>
      <c r="R123" s="1874"/>
      <c r="S123" s="1874"/>
      <c r="T123" s="321"/>
      <c r="U123" s="323"/>
    </row>
    <row r="124" spans="1:21" ht="13.2">
      <c r="A124" s="117" t="s">
        <v>990</v>
      </c>
      <c r="B124" s="330"/>
      <c r="C124" s="117"/>
      <c r="D124" s="1874"/>
      <c r="E124" s="1874"/>
      <c r="F124" s="1874"/>
      <c r="G124" s="1874"/>
      <c r="H124" s="1874"/>
      <c r="I124" s="1874"/>
      <c r="J124" s="1874"/>
      <c r="K124" s="1874"/>
      <c r="L124" s="1874"/>
      <c r="M124" s="1874"/>
      <c r="N124" s="1874"/>
      <c r="O124" s="1874"/>
      <c r="P124" s="1874"/>
      <c r="Q124" s="1874"/>
      <c r="R124" s="1874"/>
      <c r="S124" s="1874"/>
      <c r="T124" s="321"/>
      <c r="U124" s="323"/>
    </row>
    <row r="125" spans="1:21" ht="13.2">
      <c r="A125" s="117" t="s">
        <v>991</v>
      </c>
      <c r="B125" s="330"/>
      <c r="C125" s="117"/>
      <c r="D125" s="1874"/>
      <c r="E125" s="1874"/>
      <c r="F125" s="1874"/>
      <c r="G125" s="1874"/>
      <c r="H125" s="1874"/>
      <c r="I125" s="1874"/>
      <c r="J125" s="1874"/>
      <c r="K125" s="1874"/>
      <c r="L125" s="1874"/>
      <c r="M125" s="1874"/>
      <c r="N125" s="1874"/>
      <c r="O125" s="1874"/>
      <c r="P125" s="1874"/>
      <c r="Q125" s="1874"/>
      <c r="R125" s="1874"/>
      <c r="S125" s="1874"/>
      <c r="T125" s="321"/>
      <c r="U125" s="323"/>
    </row>
    <row r="126" spans="1:21" ht="13.2">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3.2">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3.2">
      <c r="A128" s="117" t="s">
        <v>994</v>
      </c>
      <c r="B128" s="330"/>
      <c r="C128" s="117"/>
      <c r="D128" s="1949"/>
      <c r="E128" s="1949"/>
      <c r="F128" s="1949"/>
      <c r="G128" s="1949"/>
      <c r="H128" s="1949"/>
      <c r="I128" s="117"/>
      <c r="J128" s="1950"/>
      <c r="K128" s="1950"/>
      <c r="L128" s="117"/>
      <c r="M128" s="117"/>
      <c r="N128" s="117"/>
      <c r="O128" s="117"/>
      <c r="P128" s="117"/>
      <c r="Q128" s="117"/>
      <c r="R128" s="117"/>
      <c r="S128" s="117"/>
      <c r="T128" s="321"/>
      <c r="U128" s="323"/>
    </row>
    <row r="129" spans="1:21" ht="13.2">
      <c r="A129" s="117" t="s">
        <v>300</v>
      </c>
      <c r="B129" s="330"/>
      <c r="C129" s="117"/>
      <c r="D129" s="1951" t="s">
        <v>995</v>
      </c>
      <c r="E129" s="1951"/>
      <c r="F129" s="1951"/>
      <c r="G129" s="1951"/>
      <c r="H129" s="1951"/>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2">
      <c r="A131" s="332" t="s">
        <v>997</v>
      </c>
      <c r="B131" s="331">
        <f>SUM(B123:B129)</f>
        <v>0</v>
      </c>
      <c r="C131" s="117"/>
      <c r="D131" s="1900"/>
      <c r="E131" s="1900"/>
      <c r="F131" s="1900"/>
      <c r="G131" s="1900"/>
      <c r="H131" s="1900"/>
      <c r="I131" s="117"/>
      <c r="J131" s="1900"/>
      <c r="K131" s="1900"/>
      <c r="L131" s="1900"/>
      <c r="M131" s="1900"/>
      <c r="N131" s="117"/>
      <c r="O131" s="117"/>
      <c r="P131" s="117"/>
      <c r="Q131" s="117"/>
      <c r="R131" s="117"/>
      <c r="S131" s="117"/>
      <c r="T131" s="321"/>
      <c r="U131" s="323"/>
    </row>
    <row r="132" spans="1:21" ht="12" customHeight="1">
      <c r="A132" s="333"/>
      <c r="B132" s="117"/>
      <c r="C132" s="117"/>
      <c r="D132" s="1955" t="s">
        <v>998</v>
      </c>
      <c r="E132" s="1955"/>
      <c r="F132" s="1955"/>
      <c r="G132" s="1955"/>
      <c r="H132" s="1955"/>
      <c r="I132" s="117"/>
      <c r="J132" s="1955" t="s">
        <v>999</v>
      </c>
      <c r="K132" s="1955"/>
      <c r="L132" s="1955"/>
      <c r="M132" s="1955"/>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2">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2">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2">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956"/>
      <c r="B138" s="1949"/>
      <c r="C138" s="1949"/>
      <c r="D138" s="325"/>
      <c r="E138" s="1950"/>
      <c r="F138" s="1950"/>
      <c r="G138" s="117"/>
      <c r="H138" s="117"/>
      <c r="I138" s="117"/>
      <c r="J138" s="117"/>
      <c r="K138" s="117"/>
      <c r="L138" s="117"/>
      <c r="M138" s="117"/>
      <c r="N138" s="117"/>
      <c r="O138" s="117"/>
      <c r="P138" s="117"/>
      <c r="Q138" s="117"/>
      <c r="R138" s="117"/>
      <c r="S138" s="117"/>
      <c r="T138" s="327"/>
      <c r="U138" s="328"/>
    </row>
    <row r="139" spans="1:21" ht="13.2">
      <c r="A139" s="1953" t="s">
        <v>1002</v>
      </c>
      <c r="B139" s="1953"/>
      <c r="C139" s="1953"/>
      <c r="D139" s="325"/>
      <c r="E139" s="117" t="s">
        <v>996</v>
      </c>
      <c r="F139" s="117"/>
      <c r="G139" s="117"/>
      <c r="H139" s="117"/>
      <c r="I139" s="117"/>
      <c r="J139" s="117"/>
      <c r="K139" s="117"/>
      <c r="L139" s="117"/>
      <c r="M139" s="117"/>
      <c r="N139" s="117"/>
      <c r="O139" s="117"/>
      <c r="P139" s="117"/>
      <c r="Q139" s="117"/>
      <c r="R139" s="117"/>
      <c r="S139" s="117"/>
      <c r="T139" s="327"/>
      <c r="U139" s="328"/>
    </row>
    <row r="140" spans="1:21" ht="13.2">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abSelected="1" topLeftCell="A50" zoomScale="90" zoomScaleNormal="90" workbookViewId="0">
      <selection activeCell="C53" sqref="C53"/>
    </sheetView>
  </sheetViews>
  <sheetFormatPr defaultColWidth="0" defaultRowHeight="12" zeroHeight="1"/>
  <cols>
    <col min="1" max="1" width="32.6640625" style="393" customWidth="1"/>
    <col min="2" max="3" width="12.109375" style="389" customWidth="1"/>
    <col min="4" max="6" width="12.88671875" style="389" customWidth="1"/>
    <col min="7" max="9" width="12.109375" style="389" customWidth="1"/>
    <col min="10" max="10" width="12.109375" style="390" customWidth="1"/>
    <col min="11" max="11" width="8.88671875" style="391" hidden="1" customWidth="1"/>
    <col min="12" max="21" width="8.88671875" style="389" hidden="1" customWidth="1"/>
    <col min="22" max="23" width="0" style="389" hidden="1"/>
    <col min="24" max="256" width="8.88671875" style="389" hidden="1"/>
    <col min="257" max="257" width="32.6640625" style="389" hidden="1" customWidth="1"/>
    <col min="258" max="259" width="12.109375" style="389" hidden="1" customWidth="1"/>
    <col min="260" max="260" width="12.88671875" style="389" hidden="1" customWidth="1"/>
    <col min="261" max="266" width="12.109375" style="389" hidden="1" customWidth="1"/>
    <col min="267" max="277" width="8.88671875" style="389" hidden="1" customWidth="1"/>
    <col min="278" max="512" width="8.88671875" style="389" hidden="1"/>
    <col min="513" max="513" width="32.6640625" style="389" hidden="1" customWidth="1"/>
    <col min="514" max="515" width="12.109375" style="389" hidden="1" customWidth="1"/>
    <col min="516" max="516" width="12.88671875" style="389" hidden="1" customWidth="1"/>
    <col min="517" max="522" width="12.109375" style="389" hidden="1" customWidth="1"/>
    <col min="523" max="533" width="8.88671875" style="389" hidden="1" customWidth="1"/>
    <col min="534" max="768" width="8.88671875" style="389" hidden="1"/>
    <col min="769" max="769" width="32.6640625" style="389" hidden="1" customWidth="1"/>
    <col min="770" max="771" width="12.109375" style="389" hidden="1" customWidth="1"/>
    <col min="772" max="772" width="12.88671875" style="389" hidden="1" customWidth="1"/>
    <col min="773" max="778" width="12.109375" style="389" hidden="1" customWidth="1"/>
    <col min="779" max="789" width="8.88671875" style="389" hidden="1" customWidth="1"/>
    <col min="790" max="1024" width="8.88671875" style="389" hidden="1"/>
    <col min="1025" max="1025" width="32.6640625" style="389" hidden="1" customWidth="1"/>
    <col min="1026" max="1027" width="12.109375" style="389" hidden="1" customWidth="1"/>
    <col min="1028" max="1028" width="12.88671875" style="389" hidden="1" customWidth="1"/>
    <col min="1029" max="1034" width="12.109375" style="389" hidden="1" customWidth="1"/>
    <col min="1035" max="1045" width="8.88671875" style="389" hidden="1" customWidth="1"/>
    <col min="1046" max="1280" width="8.88671875" style="389" hidden="1"/>
    <col min="1281" max="1281" width="32.6640625" style="389" hidden="1" customWidth="1"/>
    <col min="1282" max="1283" width="12.109375" style="389" hidden="1" customWidth="1"/>
    <col min="1284" max="1284" width="12.88671875" style="389" hidden="1" customWidth="1"/>
    <col min="1285" max="1290" width="12.109375" style="389" hidden="1" customWidth="1"/>
    <col min="1291" max="1301" width="8.88671875" style="389" hidden="1" customWidth="1"/>
    <col min="1302" max="1536" width="8.88671875" style="389" hidden="1"/>
    <col min="1537" max="1537" width="32.6640625" style="389" hidden="1" customWidth="1"/>
    <col min="1538" max="1539" width="12.109375" style="389" hidden="1" customWidth="1"/>
    <col min="1540" max="1540" width="12.88671875" style="389" hidden="1" customWidth="1"/>
    <col min="1541" max="1546" width="12.109375" style="389" hidden="1" customWidth="1"/>
    <col min="1547" max="1557" width="8.88671875" style="389" hidden="1" customWidth="1"/>
    <col min="1558" max="1792" width="8.88671875" style="389" hidden="1"/>
    <col min="1793" max="1793" width="32.6640625" style="389" hidden="1" customWidth="1"/>
    <col min="1794" max="1795" width="12.109375" style="389" hidden="1" customWidth="1"/>
    <col min="1796" max="1796" width="12.88671875" style="389" hidden="1" customWidth="1"/>
    <col min="1797" max="1802" width="12.109375" style="389" hidden="1" customWidth="1"/>
    <col min="1803" max="1813" width="8.88671875" style="389" hidden="1" customWidth="1"/>
    <col min="1814" max="2048" width="8.88671875" style="389" hidden="1"/>
    <col min="2049" max="2049" width="32.6640625" style="389" hidden="1" customWidth="1"/>
    <col min="2050" max="2051" width="12.109375" style="389" hidden="1" customWidth="1"/>
    <col min="2052" max="2052" width="12.88671875" style="389" hidden="1" customWidth="1"/>
    <col min="2053" max="2058" width="12.109375" style="389" hidden="1" customWidth="1"/>
    <col min="2059" max="2069" width="8.88671875" style="389" hidden="1" customWidth="1"/>
    <col min="2070" max="2304" width="8.88671875" style="389" hidden="1"/>
    <col min="2305" max="2305" width="32.6640625" style="389" hidden="1" customWidth="1"/>
    <col min="2306" max="2307" width="12.109375" style="389" hidden="1" customWidth="1"/>
    <col min="2308" max="2308" width="12.88671875" style="389" hidden="1" customWidth="1"/>
    <col min="2309" max="2314" width="12.109375" style="389" hidden="1" customWidth="1"/>
    <col min="2315" max="2325" width="8.88671875" style="389" hidden="1" customWidth="1"/>
    <col min="2326" max="2560" width="8.88671875" style="389" hidden="1"/>
    <col min="2561" max="2561" width="32.6640625" style="389" hidden="1" customWidth="1"/>
    <col min="2562" max="2563" width="12.109375" style="389" hidden="1" customWidth="1"/>
    <col min="2564" max="2564" width="12.88671875" style="389" hidden="1" customWidth="1"/>
    <col min="2565" max="2570" width="12.109375" style="389" hidden="1" customWidth="1"/>
    <col min="2571" max="2581" width="8.88671875" style="389" hidden="1" customWidth="1"/>
    <col min="2582" max="2816" width="8.88671875" style="389" hidden="1"/>
    <col min="2817" max="2817" width="32.6640625" style="389" hidden="1" customWidth="1"/>
    <col min="2818" max="2819" width="12.109375" style="389" hidden="1" customWidth="1"/>
    <col min="2820" max="2820" width="12.88671875" style="389" hidden="1" customWidth="1"/>
    <col min="2821" max="2826" width="12.109375" style="389" hidden="1" customWidth="1"/>
    <col min="2827" max="2837" width="8.88671875" style="389" hidden="1" customWidth="1"/>
    <col min="2838" max="3072" width="8.88671875" style="389" hidden="1"/>
    <col min="3073" max="3073" width="32.6640625" style="389" hidden="1" customWidth="1"/>
    <col min="3074" max="3075" width="12.109375" style="389" hidden="1" customWidth="1"/>
    <col min="3076" max="3076" width="12.88671875" style="389" hidden="1" customWidth="1"/>
    <col min="3077" max="3082" width="12.109375" style="389" hidden="1" customWidth="1"/>
    <col min="3083" max="3093" width="8.88671875" style="389" hidden="1" customWidth="1"/>
    <col min="3094" max="3328" width="8.88671875" style="389" hidden="1"/>
    <col min="3329" max="3329" width="32.6640625" style="389" hidden="1" customWidth="1"/>
    <col min="3330" max="3331" width="12.109375" style="389" hidden="1" customWidth="1"/>
    <col min="3332" max="3332" width="12.88671875" style="389" hidden="1" customWidth="1"/>
    <col min="3333" max="3338" width="12.109375" style="389" hidden="1" customWidth="1"/>
    <col min="3339" max="3349" width="8.88671875" style="389" hidden="1" customWidth="1"/>
    <col min="3350" max="3584" width="8.88671875" style="389" hidden="1"/>
    <col min="3585" max="3585" width="32.6640625" style="389" hidden="1" customWidth="1"/>
    <col min="3586" max="3587" width="12.109375" style="389" hidden="1" customWidth="1"/>
    <col min="3588" max="3588" width="12.88671875" style="389" hidden="1" customWidth="1"/>
    <col min="3589" max="3594" width="12.109375" style="389" hidden="1" customWidth="1"/>
    <col min="3595" max="3605" width="8.88671875" style="389" hidden="1" customWidth="1"/>
    <col min="3606" max="3840" width="8.88671875" style="389" hidden="1"/>
    <col min="3841" max="3841" width="32.6640625" style="389" hidden="1" customWidth="1"/>
    <col min="3842" max="3843" width="12.109375" style="389" hidden="1" customWidth="1"/>
    <col min="3844" max="3844" width="12.88671875" style="389" hidden="1" customWidth="1"/>
    <col min="3845" max="3850" width="12.109375" style="389" hidden="1" customWidth="1"/>
    <col min="3851" max="3861" width="8.88671875" style="389" hidden="1" customWidth="1"/>
    <col min="3862" max="4096" width="8.88671875" style="389" hidden="1"/>
    <col min="4097" max="4097" width="32.6640625" style="389" hidden="1" customWidth="1"/>
    <col min="4098" max="4099" width="12.109375" style="389" hidden="1" customWidth="1"/>
    <col min="4100" max="4100" width="12.88671875" style="389" hidden="1" customWidth="1"/>
    <col min="4101" max="4106" width="12.109375" style="389" hidden="1" customWidth="1"/>
    <col min="4107" max="4117" width="8.88671875" style="389" hidden="1" customWidth="1"/>
    <col min="4118" max="4352" width="8.88671875" style="389" hidden="1"/>
    <col min="4353" max="4353" width="32.6640625" style="389" hidden="1" customWidth="1"/>
    <col min="4354" max="4355" width="12.109375" style="389" hidden="1" customWidth="1"/>
    <col min="4356" max="4356" width="12.88671875" style="389" hidden="1" customWidth="1"/>
    <col min="4357" max="4362" width="12.109375" style="389" hidden="1" customWidth="1"/>
    <col min="4363" max="4373" width="8.88671875" style="389" hidden="1" customWidth="1"/>
    <col min="4374" max="4608" width="8.88671875" style="389" hidden="1"/>
    <col min="4609" max="4609" width="32.6640625" style="389" hidden="1" customWidth="1"/>
    <col min="4610" max="4611" width="12.109375" style="389" hidden="1" customWidth="1"/>
    <col min="4612" max="4612" width="12.88671875" style="389" hidden="1" customWidth="1"/>
    <col min="4613" max="4618" width="12.109375" style="389" hidden="1" customWidth="1"/>
    <col min="4619" max="4629" width="8.88671875" style="389" hidden="1" customWidth="1"/>
    <col min="4630" max="4864" width="8.88671875" style="389" hidden="1"/>
    <col min="4865" max="4865" width="32.6640625" style="389" hidden="1" customWidth="1"/>
    <col min="4866" max="4867" width="12.109375" style="389" hidden="1" customWidth="1"/>
    <col min="4868" max="4868" width="12.88671875" style="389" hidden="1" customWidth="1"/>
    <col min="4869" max="4874" width="12.109375" style="389" hidden="1" customWidth="1"/>
    <col min="4875" max="4885" width="8.88671875" style="389" hidden="1" customWidth="1"/>
    <col min="4886" max="5120" width="8.88671875" style="389" hidden="1"/>
    <col min="5121" max="5121" width="32.6640625" style="389" hidden="1" customWidth="1"/>
    <col min="5122" max="5123" width="12.109375" style="389" hidden="1" customWidth="1"/>
    <col min="5124" max="5124" width="12.88671875" style="389" hidden="1" customWidth="1"/>
    <col min="5125" max="5130" width="12.109375" style="389" hidden="1" customWidth="1"/>
    <col min="5131" max="5141" width="8.88671875" style="389" hidden="1" customWidth="1"/>
    <col min="5142" max="5376" width="8.88671875" style="389" hidden="1"/>
    <col min="5377" max="5377" width="32.6640625" style="389" hidden="1" customWidth="1"/>
    <col min="5378" max="5379" width="12.109375" style="389" hidden="1" customWidth="1"/>
    <col min="5380" max="5380" width="12.88671875" style="389" hidden="1" customWidth="1"/>
    <col min="5381" max="5386" width="12.109375" style="389" hidden="1" customWidth="1"/>
    <col min="5387" max="5397" width="8.88671875" style="389" hidden="1" customWidth="1"/>
    <col min="5398" max="5632" width="8.88671875" style="389" hidden="1"/>
    <col min="5633" max="5633" width="32.6640625" style="389" hidden="1" customWidth="1"/>
    <col min="5634" max="5635" width="12.109375" style="389" hidden="1" customWidth="1"/>
    <col min="5636" max="5636" width="12.88671875" style="389" hidden="1" customWidth="1"/>
    <col min="5637" max="5642" width="12.109375" style="389" hidden="1" customWidth="1"/>
    <col min="5643" max="5653" width="8.88671875" style="389" hidden="1" customWidth="1"/>
    <col min="5654" max="5888" width="8.88671875" style="389" hidden="1"/>
    <col min="5889" max="5889" width="32.6640625" style="389" hidden="1" customWidth="1"/>
    <col min="5890" max="5891" width="12.109375" style="389" hidden="1" customWidth="1"/>
    <col min="5892" max="5892" width="12.88671875" style="389" hidden="1" customWidth="1"/>
    <col min="5893" max="5898" width="12.109375" style="389" hidden="1" customWidth="1"/>
    <col min="5899" max="5909" width="8.88671875" style="389" hidden="1" customWidth="1"/>
    <col min="5910" max="6144" width="8.88671875" style="389" hidden="1"/>
    <col min="6145" max="6145" width="32.6640625" style="389" hidden="1" customWidth="1"/>
    <col min="6146" max="6147" width="12.109375" style="389" hidden="1" customWidth="1"/>
    <col min="6148" max="6148" width="12.88671875" style="389" hidden="1" customWidth="1"/>
    <col min="6149" max="6154" width="12.109375" style="389" hidden="1" customWidth="1"/>
    <col min="6155" max="6165" width="8.88671875" style="389" hidden="1" customWidth="1"/>
    <col min="6166" max="6400" width="8.88671875" style="389" hidden="1"/>
    <col min="6401" max="6401" width="32.6640625" style="389" hidden="1" customWidth="1"/>
    <col min="6402" max="6403" width="12.109375" style="389" hidden="1" customWidth="1"/>
    <col min="6404" max="6404" width="12.88671875" style="389" hidden="1" customWidth="1"/>
    <col min="6405" max="6410" width="12.109375" style="389" hidden="1" customWidth="1"/>
    <col min="6411" max="6421" width="8.88671875" style="389" hidden="1" customWidth="1"/>
    <col min="6422" max="6656" width="8.88671875" style="389" hidden="1"/>
    <col min="6657" max="6657" width="32.6640625" style="389" hidden="1" customWidth="1"/>
    <col min="6658" max="6659" width="12.109375" style="389" hidden="1" customWidth="1"/>
    <col min="6660" max="6660" width="12.88671875" style="389" hidden="1" customWidth="1"/>
    <col min="6661" max="6666" width="12.109375" style="389" hidden="1" customWidth="1"/>
    <col min="6667" max="6677" width="8.88671875" style="389" hidden="1" customWidth="1"/>
    <col min="6678" max="6912" width="8.88671875" style="389" hidden="1"/>
    <col min="6913" max="6913" width="32.6640625" style="389" hidden="1" customWidth="1"/>
    <col min="6914" max="6915" width="12.109375" style="389" hidden="1" customWidth="1"/>
    <col min="6916" max="6916" width="12.88671875" style="389" hidden="1" customWidth="1"/>
    <col min="6917" max="6922" width="12.109375" style="389" hidden="1" customWidth="1"/>
    <col min="6923" max="6933" width="8.88671875" style="389" hidden="1" customWidth="1"/>
    <col min="6934" max="7168" width="8.88671875" style="389" hidden="1"/>
    <col min="7169" max="7169" width="32.6640625" style="389" hidden="1" customWidth="1"/>
    <col min="7170" max="7171" width="12.109375" style="389" hidden="1" customWidth="1"/>
    <col min="7172" max="7172" width="12.88671875" style="389" hidden="1" customWidth="1"/>
    <col min="7173" max="7178" width="12.109375" style="389" hidden="1" customWidth="1"/>
    <col min="7179" max="7189" width="8.88671875" style="389" hidden="1" customWidth="1"/>
    <col min="7190" max="7424" width="8.88671875" style="389" hidden="1"/>
    <col min="7425" max="7425" width="32.6640625" style="389" hidden="1" customWidth="1"/>
    <col min="7426" max="7427" width="12.109375" style="389" hidden="1" customWidth="1"/>
    <col min="7428" max="7428" width="12.88671875" style="389" hidden="1" customWidth="1"/>
    <col min="7429" max="7434" width="12.109375" style="389" hidden="1" customWidth="1"/>
    <col min="7435" max="7445" width="8.88671875" style="389" hidden="1" customWidth="1"/>
    <col min="7446" max="7680" width="8.88671875" style="389" hidden="1"/>
    <col min="7681" max="7681" width="32.6640625" style="389" hidden="1" customWidth="1"/>
    <col min="7682" max="7683" width="12.109375" style="389" hidden="1" customWidth="1"/>
    <col min="7684" max="7684" width="12.88671875" style="389" hidden="1" customWidth="1"/>
    <col min="7685" max="7690" width="12.109375" style="389" hidden="1" customWidth="1"/>
    <col min="7691" max="7701" width="8.88671875" style="389" hidden="1" customWidth="1"/>
    <col min="7702" max="7936" width="8.88671875" style="389" hidden="1"/>
    <col min="7937" max="7937" width="32.6640625" style="389" hidden="1" customWidth="1"/>
    <col min="7938" max="7939" width="12.109375" style="389" hidden="1" customWidth="1"/>
    <col min="7940" max="7940" width="12.88671875" style="389" hidden="1" customWidth="1"/>
    <col min="7941" max="7946" width="12.109375" style="389" hidden="1" customWidth="1"/>
    <col min="7947" max="7957" width="8.88671875" style="389" hidden="1" customWidth="1"/>
    <col min="7958" max="8192" width="8.88671875" style="389" hidden="1"/>
    <col min="8193" max="8193" width="32.6640625" style="389" hidden="1" customWidth="1"/>
    <col min="8194" max="8195" width="12.109375" style="389" hidden="1" customWidth="1"/>
    <col min="8196" max="8196" width="12.88671875" style="389" hidden="1" customWidth="1"/>
    <col min="8197" max="8202" width="12.109375" style="389" hidden="1" customWidth="1"/>
    <col min="8203" max="8213" width="8.88671875" style="389" hidden="1" customWidth="1"/>
    <col min="8214" max="8448" width="8.88671875" style="389" hidden="1"/>
    <col min="8449" max="8449" width="32.6640625" style="389" hidden="1" customWidth="1"/>
    <col min="8450" max="8451" width="12.109375" style="389" hidden="1" customWidth="1"/>
    <col min="8452" max="8452" width="12.88671875" style="389" hidden="1" customWidth="1"/>
    <col min="8453" max="8458" width="12.109375" style="389" hidden="1" customWidth="1"/>
    <col min="8459" max="8469" width="8.88671875" style="389" hidden="1" customWidth="1"/>
    <col min="8470" max="8704" width="8.88671875" style="389" hidden="1"/>
    <col min="8705" max="8705" width="32.6640625" style="389" hidden="1" customWidth="1"/>
    <col min="8706" max="8707" width="12.109375" style="389" hidden="1" customWidth="1"/>
    <col min="8708" max="8708" width="12.88671875" style="389" hidden="1" customWidth="1"/>
    <col min="8709" max="8714" width="12.109375" style="389" hidden="1" customWidth="1"/>
    <col min="8715" max="8725" width="8.88671875" style="389" hidden="1" customWidth="1"/>
    <col min="8726" max="8960" width="8.88671875" style="389" hidden="1"/>
    <col min="8961" max="8961" width="32.6640625" style="389" hidden="1" customWidth="1"/>
    <col min="8962" max="8963" width="12.109375" style="389" hidden="1" customWidth="1"/>
    <col min="8964" max="8964" width="12.88671875" style="389" hidden="1" customWidth="1"/>
    <col min="8965" max="8970" width="12.109375" style="389" hidden="1" customWidth="1"/>
    <col min="8971" max="8981" width="8.88671875" style="389" hidden="1" customWidth="1"/>
    <col min="8982" max="9216" width="8.88671875" style="389" hidden="1"/>
    <col min="9217" max="9217" width="32.6640625" style="389" hidden="1" customWidth="1"/>
    <col min="9218" max="9219" width="12.109375" style="389" hidden="1" customWidth="1"/>
    <col min="9220" max="9220" width="12.88671875" style="389" hidden="1" customWidth="1"/>
    <col min="9221" max="9226" width="12.109375" style="389" hidden="1" customWidth="1"/>
    <col min="9227" max="9237" width="8.88671875" style="389" hidden="1" customWidth="1"/>
    <col min="9238" max="9472" width="8.88671875" style="389" hidden="1"/>
    <col min="9473" max="9473" width="32.6640625" style="389" hidden="1" customWidth="1"/>
    <col min="9474" max="9475" width="12.109375" style="389" hidden="1" customWidth="1"/>
    <col min="9476" max="9476" width="12.88671875" style="389" hidden="1" customWidth="1"/>
    <col min="9477" max="9482" width="12.109375" style="389" hidden="1" customWidth="1"/>
    <col min="9483" max="9493" width="8.88671875" style="389" hidden="1" customWidth="1"/>
    <col min="9494" max="9728" width="8.88671875" style="389" hidden="1"/>
    <col min="9729" max="9729" width="32.6640625" style="389" hidden="1" customWidth="1"/>
    <col min="9730" max="9731" width="12.109375" style="389" hidden="1" customWidth="1"/>
    <col min="9732" max="9732" width="12.88671875" style="389" hidden="1" customWidth="1"/>
    <col min="9733" max="9738" width="12.109375" style="389" hidden="1" customWidth="1"/>
    <col min="9739" max="9749" width="8.88671875" style="389" hidden="1" customWidth="1"/>
    <col min="9750" max="9984" width="8.88671875" style="389" hidden="1"/>
    <col min="9985" max="9985" width="32.6640625" style="389" hidden="1" customWidth="1"/>
    <col min="9986" max="9987" width="12.109375" style="389" hidden="1" customWidth="1"/>
    <col min="9988" max="9988" width="12.88671875" style="389" hidden="1" customWidth="1"/>
    <col min="9989" max="9994" width="12.109375" style="389" hidden="1" customWidth="1"/>
    <col min="9995" max="10005" width="8.88671875" style="389" hidden="1" customWidth="1"/>
    <col min="10006" max="10240" width="8.88671875" style="389" hidden="1"/>
    <col min="10241" max="10241" width="32.6640625" style="389" hidden="1" customWidth="1"/>
    <col min="10242" max="10243" width="12.109375" style="389" hidden="1" customWidth="1"/>
    <col min="10244" max="10244" width="12.88671875" style="389" hidden="1" customWidth="1"/>
    <col min="10245" max="10250" width="12.109375" style="389" hidden="1" customWidth="1"/>
    <col min="10251" max="10261" width="8.88671875" style="389" hidden="1" customWidth="1"/>
    <col min="10262" max="10496" width="8.88671875" style="389" hidden="1"/>
    <col min="10497" max="10497" width="32.6640625" style="389" hidden="1" customWidth="1"/>
    <col min="10498" max="10499" width="12.109375" style="389" hidden="1" customWidth="1"/>
    <col min="10500" max="10500" width="12.88671875" style="389" hidden="1" customWidth="1"/>
    <col min="10501" max="10506" width="12.109375" style="389" hidden="1" customWidth="1"/>
    <col min="10507" max="10517" width="8.88671875" style="389" hidden="1" customWidth="1"/>
    <col min="10518" max="10752" width="8.88671875" style="389" hidden="1"/>
    <col min="10753" max="10753" width="32.6640625" style="389" hidden="1" customWidth="1"/>
    <col min="10754" max="10755" width="12.109375" style="389" hidden="1" customWidth="1"/>
    <col min="10756" max="10756" width="12.88671875" style="389" hidden="1" customWidth="1"/>
    <col min="10757" max="10762" width="12.109375" style="389" hidden="1" customWidth="1"/>
    <col min="10763" max="10773" width="8.88671875" style="389" hidden="1" customWidth="1"/>
    <col min="10774" max="11008" width="8.88671875" style="389" hidden="1"/>
    <col min="11009" max="11009" width="32.6640625" style="389" hidden="1" customWidth="1"/>
    <col min="11010" max="11011" width="12.109375" style="389" hidden="1" customWidth="1"/>
    <col min="11012" max="11012" width="12.88671875" style="389" hidden="1" customWidth="1"/>
    <col min="11013" max="11018" width="12.109375" style="389" hidden="1" customWidth="1"/>
    <col min="11019" max="11029" width="8.88671875" style="389" hidden="1" customWidth="1"/>
    <col min="11030" max="11264" width="8.88671875" style="389" hidden="1"/>
    <col min="11265" max="11265" width="32.6640625" style="389" hidden="1" customWidth="1"/>
    <col min="11266" max="11267" width="12.109375" style="389" hidden="1" customWidth="1"/>
    <col min="11268" max="11268" width="12.88671875" style="389" hidden="1" customWidth="1"/>
    <col min="11269" max="11274" width="12.109375" style="389" hidden="1" customWidth="1"/>
    <col min="11275" max="11285" width="8.88671875" style="389" hidden="1" customWidth="1"/>
    <col min="11286" max="11520" width="8.88671875" style="389" hidden="1"/>
    <col min="11521" max="11521" width="32.6640625" style="389" hidden="1" customWidth="1"/>
    <col min="11522" max="11523" width="12.109375" style="389" hidden="1" customWidth="1"/>
    <col min="11524" max="11524" width="12.88671875" style="389" hidden="1" customWidth="1"/>
    <col min="11525" max="11530" width="12.109375" style="389" hidden="1" customWidth="1"/>
    <col min="11531" max="11541" width="8.88671875" style="389" hidden="1" customWidth="1"/>
    <col min="11542" max="11776" width="8.88671875" style="389" hidden="1"/>
    <col min="11777" max="11777" width="32.6640625" style="389" hidden="1" customWidth="1"/>
    <col min="11778" max="11779" width="12.109375" style="389" hidden="1" customWidth="1"/>
    <col min="11780" max="11780" width="12.88671875" style="389" hidden="1" customWidth="1"/>
    <col min="11781" max="11786" width="12.109375" style="389" hidden="1" customWidth="1"/>
    <col min="11787" max="11797" width="8.88671875" style="389" hidden="1" customWidth="1"/>
    <col min="11798" max="12032" width="8.88671875" style="389" hidden="1"/>
    <col min="12033" max="12033" width="32.6640625" style="389" hidden="1" customWidth="1"/>
    <col min="12034" max="12035" width="12.109375" style="389" hidden="1" customWidth="1"/>
    <col min="12036" max="12036" width="12.88671875" style="389" hidden="1" customWidth="1"/>
    <col min="12037" max="12042" width="12.109375" style="389" hidden="1" customWidth="1"/>
    <col min="12043" max="12053" width="8.88671875" style="389" hidden="1" customWidth="1"/>
    <col min="12054" max="12288" width="8.88671875" style="389" hidden="1"/>
    <col min="12289" max="12289" width="32.6640625" style="389" hidden="1" customWidth="1"/>
    <col min="12290" max="12291" width="12.109375" style="389" hidden="1" customWidth="1"/>
    <col min="12292" max="12292" width="12.88671875" style="389" hidden="1" customWidth="1"/>
    <col min="12293" max="12298" width="12.109375" style="389" hidden="1" customWidth="1"/>
    <col min="12299" max="12309" width="8.88671875" style="389" hidden="1" customWidth="1"/>
    <col min="12310" max="12544" width="8.88671875" style="389" hidden="1"/>
    <col min="12545" max="12545" width="32.6640625" style="389" hidden="1" customWidth="1"/>
    <col min="12546" max="12547" width="12.109375" style="389" hidden="1" customWidth="1"/>
    <col min="12548" max="12548" width="12.88671875" style="389" hidden="1" customWidth="1"/>
    <col min="12549" max="12554" width="12.109375" style="389" hidden="1" customWidth="1"/>
    <col min="12555" max="12565" width="8.88671875" style="389" hidden="1" customWidth="1"/>
    <col min="12566" max="12800" width="8.88671875" style="389" hidden="1"/>
    <col min="12801" max="12801" width="32.6640625" style="389" hidden="1" customWidth="1"/>
    <col min="12802" max="12803" width="12.109375" style="389" hidden="1" customWidth="1"/>
    <col min="12804" max="12804" width="12.88671875" style="389" hidden="1" customWidth="1"/>
    <col min="12805" max="12810" width="12.109375" style="389" hidden="1" customWidth="1"/>
    <col min="12811" max="12821" width="8.88671875" style="389" hidden="1" customWidth="1"/>
    <col min="12822" max="13056" width="8.88671875" style="389" hidden="1"/>
    <col min="13057" max="13057" width="32.6640625" style="389" hidden="1" customWidth="1"/>
    <col min="13058" max="13059" width="12.109375" style="389" hidden="1" customWidth="1"/>
    <col min="13060" max="13060" width="12.88671875" style="389" hidden="1" customWidth="1"/>
    <col min="13061" max="13066" width="12.109375" style="389" hidden="1" customWidth="1"/>
    <col min="13067" max="13077" width="8.88671875" style="389" hidden="1" customWidth="1"/>
    <col min="13078" max="13312" width="8.88671875" style="389" hidden="1"/>
    <col min="13313" max="13313" width="32.6640625" style="389" hidden="1" customWidth="1"/>
    <col min="13314" max="13315" width="12.109375" style="389" hidden="1" customWidth="1"/>
    <col min="13316" max="13316" width="12.88671875" style="389" hidden="1" customWidth="1"/>
    <col min="13317" max="13322" width="12.109375" style="389" hidden="1" customWidth="1"/>
    <col min="13323" max="13333" width="8.88671875" style="389" hidden="1" customWidth="1"/>
    <col min="13334" max="13568" width="8.88671875" style="389" hidden="1"/>
    <col min="13569" max="13569" width="32.6640625" style="389" hidden="1" customWidth="1"/>
    <col min="13570" max="13571" width="12.109375" style="389" hidden="1" customWidth="1"/>
    <col min="13572" max="13572" width="12.88671875" style="389" hidden="1" customWidth="1"/>
    <col min="13573" max="13578" width="12.109375" style="389" hidden="1" customWidth="1"/>
    <col min="13579" max="13589" width="8.88671875" style="389" hidden="1" customWidth="1"/>
    <col min="13590" max="13824" width="8.88671875" style="389" hidden="1"/>
    <col min="13825" max="13825" width="32.6640625" style="389" hidden="1" customWidth="1"/>
    <col min="13826" max="13827" width="12.109375" style="389" hidden="1" customWidth="1"/>
    <col min="13828" max="13828" width="12.88671875" style="389" hidden="1" customWidth="1"/>
    <col min="13829" max="13834" width="12.109375" style="389" hidden="1" customWidth="1"/>
    <col min="13835" max="13845" width="8.88671875" style="389" hidden="1" customWidth="1"/>
    <col min="13846" max="14080" width="8.88671875" style="389" hidden="1"/>
    <col min="14081" max="14081" width="32.6640625" style="389" hidden="1" customWidth="1"/>
    <col min="14082" max="14083" width="12.109375" style="389" hidden="1" customWidth="1"/>
    <col min="14084" max="14084" width="12.88671875" style="389" hidden="1" customWidth="1"/>
    <col min="14085" max="14090" width="12.109375" style="389" hidden="1" customWidth="1"/>
    <col min="14091" max="14101" width="8.88671875" style="389" hidden="1" customWidth="1"/>
    <col min="14102" max="14336" width="8.88671875" style="389" hidden="1"/>
    <col min="14337" max="14337" width="32.6640625" style="389" hidden="1" customWidth="1"/>
    <col min="14338" max="14339" width="12.109375" style="389" hidden="1" customWidth="1"/>
    <col min="14340" max="14340" width="12.88671875" style="389" hidden="1" customWidth="1"/>
    <col min="14341" max="14346" width="12.109375" style="389" hidden="1" customWidth="1"/>
    <col min="14347" max="14357" width="8.88671875" style="389" hidden="1" customWidth="1"/>
    <col min="14358" max="14592" width="8.88671875" style="389" hidden="1"/>
    <col min="14593" max="14593" width="32.6640625" style="389" hidden="1" customWidth="1"/>
    <col min="14594" max="14595" width="12.109375" style="389" hidden="1" customWidth="1"/>
    <col min="14596" max="14596" width="12.88671875" style="389" hidden="1" customWidth="1"/>
    <col min="14597" max="14602" width="12.109375" style="389" hidden="1" customWidth="1"/>
    <col min="14603" max="14613" width="8.88671875" style="389" hidden="1" customWidth="1"/>
    <col min="14614" max="14848" width="8.88671875" style="389" hidden="1"/>
    <col min="14849" max="14849" width="32.6640625" style="389" hidden="1" customWidth="1"/>
    <col min="14850" max="14851" width="12.109375" style="389" hidden="1" customWidth="1"/>
    <col min="14852" max="14852" width="12.88671875" style="389" hidden="1" customWidth="1"/>
    <col min="14853" max="14858" width="12.109375" style="389" hidden="1" customWidth="1"/>
    <col min="14859" max="14869" width="8.88671875" style="389" hidden="1" customWidth="1"/>
    <col min="14870" max="15104" width="8.88671875" style="389" hidden="1"/>
    <col min="15105" max="15105" width="32.6640625" style="389" hidden="1" customWidth="1"/>
    <col min="15106" max="15107" width="12.109375" style="389" hidden="1" customWidth="1"/>
    <col min="15108" max="15108" width="12.88671875" style="389" hidden="1" customWidth="1"/>
    <col min="15109" max="15114" width="12.109375" style="389" hidden="1" customWidth="1"/>
    <col min="15115" max="15125" width="8.88671875" style="389" hidden="1" customWidth="1"/>
    <col min="15126" max="15360" width="8.88671875" style="389" hidden="1"/>
    <col min="15361" max="15361" width="32.6640625" style="389" hidden="1" customWidth="1"/>
    <col min="15362" max="15363" width="12.109375" style="389" hidden="1" customWidth="1"/>
    <col min="15364" max="15364" width="12.88671875" style="389" hidden="1" customWidth="1"/>
    <col min="15365" max="15370" width="12.109375" style="389" hidden="1" customWidth="1"/>
    <col min="15371" max="15381" width="8.88671875" style="389" hidden="1" customWidth="1"/>
    <col min="15382" max="15616" width="8.88671875" style="389" hidden="1"/>
    <col min="15617" max="15617" width="32.6640625" style="389" hidden="1" customWidth="1"/>
    <col min="15618" max="15619" width="12.109375" style="389" hidden="1" customWidth="1"/>
    <col min="15620" max="15620" width="12.88671875" style="389" hidden="1" customWidth="1"/>
    <col min="15621" max="15626" width="12.109375" style="389" hidden="1" customWidth="1"/>
    <col min="15627" max="15637" width="8.88671875" style="389" hidden="1" customWidth="1"/>
    <col min="15638" max="15872" width="8.88671875" style="389" hidden="1"/>
    <col min="15873" max="15873" width="32.6640625" style="389" hidden="1" customWidth="1"/>
    <col min="15874" max="15875" width="12.109375" style="389" hidden="1" customWidth="1"/>
    <col min="15876" max="15876" width="12.88671875" style="389" hidden="1" customWidth="1"/>
    <col min="15877" max="15882" width="12.109375" style="389" hidden="1" customWidth="1"/>
    <col min="15883" max="15893" width="8.88671875" style="389" hidden="1" customWidth="1"/>
    <col min="15894" max="16128" width="8.88671875" style="389" hidden="1"/>
    <col min="16129" max="16129" width="32.6640625" style="389" hidden="1" customWidth="1"/>
    <col min="16130" max="16131" width="12.109375" style="389" hidden="1" customWidth="1"/>
    <col min="16132" max="16132" width="12.88671875" style="389" hidden="1" customWidth="1"/>
    <col min="16133" max="16138" width="12.109375" style="389" hidden="1" customWidth="1"/>
    <col min="16139" max="16149" width="8.88671875" style="389" hidden="1" customWidth="1"/>
    <col min="16150" max="16384" width="8.88671875" style="389" hidden="1"/>
  </cols>
  <sheetData>
    <row r="1" spans="1:11" s="352" customFormat="1" ht="13.2">
      <c r="A1" s="1959" t="s">
        <v>1224</v>
      </c>
      <c r="B1" s="1960"/>
      <c r="C1" s="1960"/>
      <c r="D1" s="1960"/>
      <c r="E1" s="1960"/>
      <c r="F1" s="1960"/>
      <c r="G1" s="1960"/>
      <c r="H1" s="1960"/>
      <c r="I1" s="1960"/>
      <c r="J1" s="1961"/>
      <c r="K1" s="351"/>
    </row>
    <row r="2" spans="1:11" s="397" customFormat="1" ht="72">
      <c r="A2" s="394"/>
      <c r="B2" s="395" t="s">
        <v>1025</v>
      </c>
      <c r="C2" s="395" t="s">
        <v>1226</v>
      </c>
      <c r="D2" s="395" t="s">
        <v>1227</v>
      </c>
      <c r="E2" s="395" t="s">
        <v>1155</v>
      </c>
      <c r="F2" s="395" t="s">
        <v>1228</v>
      </c>
      <c r="G2" s="395" t="s">
        <v>1229</v>
      </c>
      <c r="H2" s="395" t="s">
        <v>1026</v>
      </c>
      <c r="I2" s="395" t="s">
        <v>1230</v>
      </c>
      <c r="J2" s="395" t="s">
        <v>1231</v>
      </c>
      <c r="K2" s="396"/>
    </row>
    <row r="3" spans="1:11" s="356" customFormat="1" ht="11.4">
      <c r="A3" s="353" t="s">
        <v>26</v>
      </c>
      <c r="B3" s="354"/>
      <c r="C3" s="354"/>
      <c r="D3" s="354"/>
      <c r="E3" s="354"/>
      <c r="F3" s="354"/>
      <c r="G3" s="354"/>
      <c r="H3" s="354"/>
      <c r="I3" s="354"/>
      <c r="J3" s="354"/>
      <c r="K3" s="355"/>
    </row>
    <row r="4" spans="1:11" s="356" customFormat="1" ht="11.4">
      <c r="A4" s="360" t="s">
        <v>27</v>
      </c>
      <c r="B4" s="357">
        <f>'Sources and Uses Budget'!C4</f>
        <v>0</v>
      </c>
      <c r="C4" s="358"/>
      <c r="D4" s="358"/>
      <c r="E4" s="359"/>
      <c r="F4" s="359"/>
      <c r="G4" s="359"/>
      <c r="H4" s="359"/>
      <c r="I4" s="359"/>
      <c r="J4" s="359"/>
      <c r="K4" s="355"/>
    </row>
    <row r="5" spans="1:11" s="356" customFormat="1" ht="11.4">
      <c r="A5" s="360" t="s">
        <v>28</v>
      </c>
      <c r="B5" s="357">
        <f>'Sources and Uses Budget'!C5</f>
        <v>0</v>
      </c>
      <c r="C5" s="358"/>
      <c r="D5" s="358"/>
      <c r="E5" s="359"/>
      <c r="F5" s="359"/>
      <c r="G5" s="359"/>
      <c r="H5" s="359"/>
      <c r="I5" s="359"/>
      <c r="J5" s="359"/>
      <c r="K5" s="355"/>
    </row>
    <row r="6" spans="1:11" s="356" customFormat="1" ht="11.4">
      <c r="A6" s="360" t="s">
        <v>29</v>
      </c>
      <c r="B6" s="357">
        <f>'Sources and Uses Budget'!C6</f>
        <v>0</v>
      </c>
      <c r="C6" s="358"/>
      <c r="D6" s="358"/>
      <c r="E6" s="359"/>
      <c r="F6" s="359"/>
      <c r="G6" s="359"/>
      <c r="H6" s="359"/>
      <c r="I6" s="359"/>
      <c r="J6" s="359"/>
      <c r="K6" s="355"/>
    </row>
    <row r="7" spans="1:11" s="356" customFormat="1" ht="11.4">
      <c r="A7" s="360" t="s">
        <v>97</v>
      </c>
      <c r="B7" s="357">
        <f>'Sources and Uses Budget'!C7</f>
        <v>0</v>
      </c>
      <c r="C7" s="358"/>
      <c r="D7" s="358"/>
      <c r="E7" s="359"/>
      <c r="F7" s="359"/>
      <c r="G7" s="359"/>
      <c r="H7" s="359"/>
      <c r="I7" s="359"/>
      <c r="J7" s="359"/>
      <c r="K7" s="355"/>
    </row>
    <row r="8" spans="1:11" s="356" customFormat="1">
      <c r="A8" s="361" t="s">
        <v>591</v>
      </c>
      <c r="B8" s="357">
        <f>'Sources and Uses Budget'!C8</f>
        <v>0</v>
      </c>
      <c r="C8" s="357">
        <f>SUM(C4:C7)</f>
        <v>0</v>
      </c>
      <c r="D8" s="357">
        <f>SUM(D4:D7)</f>
        <v>0</v>
      </c>
      <c r="E8" s="359"/>
      <c r="F8" s="359"/>
      <c r="G8" s="359"/>
      <c r="H8" s="359"/>
      <c r="I8" s="359"/>
      <c r="J8" s="359"/>
      <c r="K8" s="355"/>
    </row>
    <row r="9" spans="1:11" s="356" customFormat="1" ht="11.4">
      <c r="A9" s="360" t="s">
        <v>592</v>
      </c>
      <c r="B9" s="357">
        <f>'Sources and Uses Budget'!C9</f>
        <v>0</v>
      </c>
      <c r="C9" s="358"/>
      <c r="D9" s="358"/>
      <c r="E9" s="359"/>
      <c r="F9" s="359"/>
      <c r="G9" s="359"/>
      <c r="H9" s="357">
        <f>'Sources and Uses Budget'!T9</f>
        <v>0</v>
      </c>
      <c r="I9" s="358"/>
      <c r="J9" s="358"/>
      <c r="K9" s="355"/>
    </row>
    <row r="10" spans="1:11" s="356" customFormat="1" ht="11.4">
      <c r="A10" s="360" t="s">
        <v>593</v>
      </c>
      <c r="B10" s="357">
        <f>'Sources and Uses Budget'!C10</f>
        <v>500000</v>
      </c>
      <c r="C10" s="358">
        <f>B10</f>
        <v>500000</v>
      </c>
      <c r="D10" s="358"/>
      <c r="E10" s="357">
        <f>'Sources and Uses Budget'!S10</f>
        <v>500000</v>
      </c>
      <c r="F10" s="358">
        <f>E10</f>
        <v>500000</v>
      </c>
      <c r="G10" s="358"/>
      <c r="H10" s="357">
        <f>'Sources and Uses Budget'!T10</f>
        <v>0</v>
      </c>
      <c r="I10" s="358"/>
      <c r="J10" s="358"/>
      <c r="K10" s="355"/>
    </row>
    <row r="11" spans="1:11" s="356" customFormat="1">
      <c r="A11" s="361" t="s">
        <v>594</v>
      </c>
      <c r="B11" s="357">
        <f>'Sources and Uses Budget'!C11</f>
        <v>500000</v>
      </c>
      <c r="C11" s="357">
        <f>SUM(C9:C10)</f>
        <v>500000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500000</v>
      </c>
      <c r="C12" s="357">
        <f>SUM(C8+C11)</f>
        <v>500000</v>
      </c>
      <c r="D12" s="357">
        <f>SUM(D8+D11)</f>
        <v>0</v>
      </c>
      <c r="E12" s="359"/>
      <c r="F12" s="359"/>
      <c r="G12" s="359"/>
      <c r="H12" s="359"/>
      <c r="I12" s="359"/>
      <c r="J12" s="359"/>
      <c r="K12" s="355"/>
    </row>
    <row r="13" spans="1:11" s="356" customFormat="1" ht="11.4">
      <c r="A13" s="362" t="s">
        <v>900</v>
      </c>
      <c r="B13" s="357">
        <f>'Sources and Uses Budget'!C13</f>
        <v>0</v>
      </c>
      <c r="C13" s="358"/>
      <c r="D13" s="358"/>
      <c r="E13" s="357">
        <f>'Sources and Uses Budget'!S13</f>
        <v>0</v>
      </c>
      <c r="F13" s="358"/>
      <c r="G13" s="358"/>
      <c r="H13" s="357">
        <f>'Sources and Uses Budget'!T13</f>
        <v>0</v>
      </c>
      <c r="I13" s="358"/>
      <c r="J13" s="358"/>
      <c r="K13" s="355"/>
    </row>
    <row r="14" spans="1:11" s="356" customFormat="1" ht="22.8">
      <c r="A14" s="360" t="s">
        <v>901</v>
      </c>
      <c r="B14" s="357">
        <f>'Sources and Uses Budget'!C14</f>
        <v>0</v>
      </c>
      <c r="C14" s="358"/>
      <c r="D14" s="358"/>
      <c r="E14" s="357">
        <f>'Sources and Uses Budget'!S14</f>
        <v>0</v>
      </c>
      <c r="F14" s="358"/>
      <c r="G14" s="358"/>
      <c r="H14" s="357">
        <f>'Sources and Uses Budget'!T14</f>
        <v>0</v>
      </c>
      <c r="I14" s="358"/>
      <c r="J14" s="358"/>
      <c r="K14" s="355"/>
    </row>
    <row r="15" spans="1:11" s="356" customFormat="1" ht="11.4">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ht="11.4">
      <c r="A16" s="353" t="s">
        <v>595</v>
      </c>
      <c r="B16" s="354"/>
      <c r="C16" s="354"/>
      <c r="D16" s="354"/>
      <c r="E16" s="354"/>
      <c r="F16" s="354"/>
      <c r="G16" s="354"/>
      <c r="H16" s="354"/>
      <c r="I16" s="354"/>
      <c r="J16" s="354"/>
      <c r="K16" s="355"/>
    </row>
    <row r="17" spans="1:11" s="356" customFormat="1" ht="11.4">
      <c r="A17" s="360" t="s">
        <v>596</v>
      </c>
      <c r="B17" s="357">
        <f>'Sources and Uses Budget'!C17</f>
        <v>0</v>
      </c>
      <c r="C17" s="358"/>
      <c r="D17" s="358"/>
      <c r="E17" s="357">
        <f>'Sources and Uses Budget'!S17</f>
        <v>0</v>
      </c>
      <c r="F17" s="358"/>
      <c r="G17" s="358"/>
      <c r="H17" s="357">
        <f>'Sources and Uses Budget'!T17</f>
        <v>0</v>
      </c>
      <c r="I17" s="358"/>
      <c r="J17" s="358"/>
      <c r="K17" s="355"/>
    </row>
    <row r="18" spans="1:11" s="356" customFormat="1" ht="11.4">
      <c r="A18" s="360" t="s">
        <v>597</v>
      </c>
      <c r="B18" s="357">
        <f>'Sources and Uses Budget'!C18</f>
        <v>0</v>
      </c>
      <c r="C18" s="358"/>
      <c r="D18" s="358"/>
      <c r="E18" s="357">
        <f>'Sources and Uses Budget'!S18</f>
        <v>0</v>
      </c>
      <c r="F18" s="358"/>
      <c r="G18" s="358"/>
      <c r="H18" s="357">
        <f>'Sources and Uses Budget'!T18</f>
        <v>0</v>
      </c>
      <c r="I18" s="358"/>
      <c r="J18" s="358"/>
      <c r="K18" s="355"/>
    </row>
    <row r="19" spans="1:11" s="356" customFormat="1" ht="11.4">
      <c r="A19" s="360" t="s">
        <v>598</v>
      </c>
      <c r="B19" s="357">
        <f>'Sources and Uses Budget'!C19</f>
        <v>0</v>
      </c>
      <c r="C19" s="358"/>
      <c r="D19" s="358"/>
      <c r="E19" s="357">
        <f>'Sources and Uses Budget'!S19</f>
        <v>0</v>
      </c>
      <c r="F19" s="358"/>
      <c r="G19" s="358"/>
      <c r="H19" s="357">
        <f>'Sources and Uses Budget'!T19</f>
        <v>0</v>
      </c>
      <c r="I19" s="358"/>
      <c r="J19" s="358"/>
      <c r="K19" s="355"/>
    </row>
    <row r="20" spans="1:11" s="356" customFormat="1" ht="11.4">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ht="11.4">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ht="11.4">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1.4">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ht="11.4">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ht="11.4">
      <c r="A25" s="360">
        <f>'Sources and Uses Budget'!$A25</f>
        <v>0</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ht="11.4">
      <c r="A28" s="353" t="s">
        <v>142</v>
      </c>
      <c r="B28" s="354"/>
      <c r="C28" s="354"/>
      <c r="D28" s="354"/>
      <c r="E28" s="354"/>
      <c r="F28" s="354"/>
      <c r="G28" s="354"/>
      <c r="H28" s="354"/>
      <c r="I28" s="354"/>
      <c r="J28" s="354"/>
      <c r="K28" s="355"/>
    </row>
    <row r="29" spans="1:11" s="356" customFormat="1" ht="11.4">
      <c r="A29" s="145" t="s">
        <v>596</v>
      </c>
      <c r="B29" s="357">
        <f>'Sources and Uses Budget'!C29</f>
        <v>1000000</v>
      </c>
      <c r="C29" s="358" cm="1">
        <f t="array" ref="C29:C37">B29:B37</f>
        <v>1000000</v>
      </c>
      <c r="D29" s="358"/>
      <c r="E29" s="357">
        <f>'Sources and Uses Budget'!S29</f>
        <v>1000000</v>
      </c>
      <c r="F29" s="358" cm="1">
        <f t="array" ref="F29:F37">E29:E37</f>
        <v>1000000</v>
      </c>
      <c r="G29" s="358"/>
      <c r="H29" s="357">
        <f>'Sources and Uses Budget'!T29</f>
        <v>0</v>
      </c>
      <c r="I29" s="358"/>
      <c r="J29" s="358"/>
      <c r="K29" s="355"/>
    </row>
    <row r="30" spans="1:11" s="356" customFormat="1" ht="11.4">
      <c r="A30" s="145" t="s">
        <v>597</v>
      </c>
      <c r="B30" s="357">
        <f>'Sources and Uses Budget'!C30</f>
        <v>40210092</v>
      </c>
      <c r="C30" s="358">
        <v>40210092</v>
      </c>
      <c r="D30" s="358"/>
      <c r="E30" s="357">
        <f>'Sources and Uses Budget'!S30</f>
        <v>40210092</v>
      </c>
      <c r="F30" s="358">
        <v>40210092</v>
      </c>
      <c r="G30" s="358"/>
      <c r="H30" s="357">
        <f>'Sources and Uses Budget'!T30</f>
        <v>0</v>
      </c>
      <c r="I30" s="358"/>
      <c r="J30" s="358"/>
      <c r="K30" s="355"/>
    </row>
    <row r="31" spans="1:11" s="356" customFormat="1" ht="11.4">
      <c r="A31" s="145" t="s">
        <v>598</v>
      </c>
      <c r="B31" s="357">
        <f>'Sources and Uses Budget'!C31</f>
        <v>2502606</v>
      </c>
      <c r="C31" s="358">
        <v>2502606</v>
      </c>
      <c r="D31" s="358"/>
      <c r="E31" s="357">
        <f>'Sources and Uses Budget'!S31</f>
        <v>2502606</v>
      </c>
      <c r="F31" s="358">
        <v>2502606</v>
      </c>
      <c r="G31" s="358"/>
      <c r="H31" s="357">
        <f>'Sources and Uses Budget'!T31</f>
        <v>0</v>
      </c>
      <c r="I31" s="358"/>
      <c r="J31" s="358"/>
      <c r="K31" s="355"/>
    </row>
    <row r="32" spans="1:11" s="356" customFormat="1" ht="11.4">
      <c r="A32" s="145" t="s">
        <v>137</v>
      </c>
      <c r="B32" s="357">
        <f>'Sources and Uses Budget'!C32</f>
        <v>1668404</v>
      </c>
      <c r="C32" s="358">
        <v>1668404</v>
      </c>
      <c r="D32" s="358"/>
      <c r="E32" s="357">
        <f>'Sources and Uses Budget'!S32</f>
        <v>1668404</v>
      </c>
      <c r="F32" s="358">
        <v>1668404</v>
      </c>
      <c r="G32" s="358"/>
      <c r="H32" s="357">
        <f>'Sources and Uses Budget'!T32</f>
        <v>0</v>
      </c>
      <c r="I32" s="358"/>
      <c r="J32" s="358"/>
      <c r="K32" s="355"/>
    </row>
    <row r="33" spans="1:11" s="356" customFormat="1" ht="11.4">
      <c r="A33" s="145" t="s">
        <v>138</v>
      </c>
      <c r="B33" s="357">
        <f>'Sources and Uses Budget'!C33</f>
        <v>1668404</v>
      </c>
      <c r="C33" s="358">
        <v>1668404</v>
      </c>
      <c r="D33" s="358"/>
      <c r="E33" s="357">
        <f>'Sources and Uses Budget'!S33</f>
        <v>1668404</v>
      </c>
      <c r="F33" s="358">
        <v>1668404</v>
      </c>
      <c r="G33" s="358"/>
      <c r="H33" s="357">
        <f>'Sources and Uses Budget'!T33</f>
        <v>0</v>
      </c>
      <c r="I33" s="358"/>
      <c r="J33" s="358"/>
      <c r="K33" s="355"/>
    </row>
    <row r="34" spans="1:11" s="356" customFormat="1" ht="11.4">
      <c r="A34" s="145" t="s">
        <v>139</v>
      </c>
      <c r="B34" s="357">
        <f>'Sources and Uses Budget'!C34</f>
        <v>0</v>
      </c>
      <c r="C34" s="358">
        <v>0</v>
      </c>
      <c r="D34" s="358"/>
      <c r="E34" s="357">
        <f>'Sources and Uses Budget'!S34</f>
        <v>0</v>
      </c>
      <c r="F34" s="358">
        <v>0</v>
      </c>
      <c r="G34" s="358"/>
      <c r="H34" s="357">
        <f>'Sources and Uses Budget'!T34</f>
        <v>0</v>
      </c>
      <c r="I34" s="358"/>
      <c r="J34" s="358"/>
      <c r="K34" s="355"/>
    </row>
    <row r="35" spans="1:11" s="356" customFormat="1" ht="11.4">
      <c r="A35" s="145" t="s">
        <v>140</v>
      </c>
      <c r="B35" s="357">
        <f>'Sources and Uses Budget'!C35</f>
        <v>475495</v>
      </c>
      <c r="C35" s="358">
        <v>475495</v>
      </c>
      <c r="D35" s="358"/>
      <c r="E35" s="357">
        <f>'Sources and Uses Budget'!S35</f>
        <v>475495</v>
      </c>
      <c r="F35" s="358">
        <v>475495</v>
      </c>
      <c r="G35" s="358"/>
      <c r="H35" s="357">
        <f>'Sources and Uses Budget'!T35</f>
        <v>0</v>
      </c>
      <c r="I35" s="358"/>
      <c r="J35" s="358"/>
      <c r="K35" s="355"/>
    </row>
    <row r="36" spans="1:11" s="356" customFormat="1" ht="11.4">
      <c r="A36" s="504" t="s">
        <v>1626</v>
      </c>
      <c r="B36" s="357">
        <f>'Sources and Uses Budget'!C36</f>
        <v>0</v>
      </c>
      <c r="C36" s="358">
        <v>0</v>
      </c>
      <c r="D36" s="358"/>
      <c r="E36" s="357">
        <f>'Sources and Uses Budget'!S36</f>
        <v>0</v>
      </c>
      <c r="F36" s="358">
        <v>0</v>
      </c>
      <c r="G36" s="358"/>
      <c r="H36" s="357">
        <f>'Sources and Uses Budget'!T36</f>
        <v>0</v>
      </c>
      <c r="I36" s="358"/>
      <c r="J36" s="358"/>
      <c r="K36" s="355"/>
    </row>
    <row r="37" spans="1:11" s="356" customFormat="1" ht="11.4">
      <c r="A37" s="360" t="str">
        <f>'Sources and Uses Budget'!$A37</f>
        <v>Other: (Specify)</v>
      </c>
      <c r="B37" s="357">
        <f>'Sources and Uses Budget'!C37</f>
        <v>0</v>
      </c>
      <c r="C37" s="358">
        <v>0</v>
      </c>
      <c r="D37" s="358"/>
      <c r="E37" s="357">
        <f>'Sources and Uses Budget'!S37</f>
        <v>0</v>
      </c>
      <c r="F37" s="358">
        <v>0</v>
      </c>
      <c r="G37" s="358"/>
      <c r="H37" s="357">
        <f>'Sources and Uses Budget'!T37</f>
        <v>0</v>
      </c>
      <c r="I37" s="358"/>
      <c r="J37" s="358"/>
      <c r="K37" s="355"/>
    </row>
    <row r="38" spans="1:11" s="356" customFormat="1">
      <c r="A38" s="361" t="s">
        <v>143</v>
      </c>
      <c r="B38" s="357">
        <f>'Sources and Uses Budget'!C38</f>
        <v>47525001</v>
      </c>
      <c r="C38" s="357">
        <f>SUM(C29:C37)</f>
        <v>47525001</v>
      </c>
      <c r="D38" s="357">
        <f>SUM(D29:D37)</f>
        <v>0</v>
      </c>
      <c r="E38" s="357">
        <f>'Sources and Uses Budget'!S38</f>
        <v>47525001</v>
      </c>
      <c r="F38" s="363">
        <f>SUM(F29:F37)</f>
        <v>47525001</v>
      </c>
      <c r="G38" s="363">
        <f>SUM(G29:G37)</f>
        <v>0</v>
      </c>
      <c r="H38" s="357">
        <f>'Sources and Uses Budget'!T38</f>
        <v>0</v>
      </c>
      <c r="I38" s="363">
        <f>SUM(I29:I37)</f>
        <v>0</v>
      </c>
      <c r="J38" s="363">
        <f>SUM(J29:J37)</f>
        <v>0</v>
      </c>
      <c r="K38" s="355"/>
    </row>
    <row r="39" spans="1:11" s="356" customFormat="1" ht="11.4">
      <c r="A39" s="353" t="s">
        <v>144</v>
      </c>
      <c r="B39" s="354"/>
      <c r="C39" s="354"/>
      <c r="D39" s="354"/>
      <c r="E39" s="354"/>
      <c r="F39" s="354"/>
      <c r="G39" s="354"/>
      <c r="H39" s="354"/>
      <c r="I39" s="354"/>
      <c r="J39" s="354"/>
      <c r="K39" s="355"/>
    </row>
    <row r="40" spans="1:11" s="356" customFormat="1" ht="11.4">
      <c r="A40" s="360" t="s">
        <v>145</v>
      </c>
      <c r="B40" s="357">
        <f>'Sources and Uses Budget'!C40</f>
        <v>1200000</v>
      </c>
      <c r="C40" s="358">
        <f>B40</f>
        <v>1200000</v>
      </c>
      <c r="D40" s="358"/>
      <c r="E40" s="357">
        <f>'Sources and Uses Budget'!S40</f>
        <v>1200000</v>
      </c>
      <c r="F40" s="358">
        <f>E40</f>
        <v>1200000</v>
      </c>
      <c r="G40" s="358"/>
      <c r="H40" s="357">
        <f>'Sources and Uses Budget'!T40</f>
        <v>0</v>
      </c>
      <c r="I40" s="358"/>
      <c r="J40" s="358"/>
      <c r="K40" s="355"/>
    </row>
    <row r="41" spans="1:11" s="356" customFormat="1" ht="11.4">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1200000</v>
      </c>
      <c r="C42" s="357">
        <f>SUM(C39:C41)</f>
        <v>1200000</v>
      </c>
      <c r="D42" s="357">
        <f>SUM(D39:D41)</f>
        <v>0</v>
      </c>
      <c r="E42" s="357">
        <f>'Sources and Uses Budget'!S42</f>
        <v>1200000</v>
      </c>
      <c r="F42" s="363">
        <f>SUM(F40:F41)</f>
        <v>1200000</v>
      </c>
      <c r="G42" s="363">
        <f>SUM(G40:G41)</f>
        <v>0</v>
      </c>
      <c r="H42" s="357">
        <f>'Sources and Uses Budget'!T42</f>
        <v>0</v>
      </c>
      <c r="I42" s="363">
        <f>SUM(I40:I41)</f>
        <v>0</v>
      </c>
      <c r="J42" s="363">
        <f>SUM(J40:J41)</f>
        <v>0</v>
      </c>
      <c r="K42" s="355"/>
    </row>
    <row r="43" spans="1:11" s="356" customFormat="1">
      <c r="A43" s="361" t="s">
        <v>148</v>
      </c>
      <c r="B43" s="357">
        <f>'Sources and Uses Budget'!C43</f>
        <v>650000</v>
      </c>
      <c r="C43" s="358">
        <f>B43</f>
        <v>650000</v>
      </c>
      <c r="D43" s="358"/>
      <c r="E43" s="357">
        <f>'Sources and Uses Budget'!S43</f>
        <v>650000</v>
      </c>
      <c r="F43" s="358">
        <f>E43</f>
        <v>650000</v>
      </c>
      <c r="G43" s="358"/>
      <c r="H43" s="357">
        <f>'Sources and Uses Budget'!T43</f>
        <v>0</v>
      </c>
      <c r="I43" s="358"/>
      <c r="J43" s="358"/>
      <c r="K43" s="355"/>
    </row>
    <row r="44" spans="1:11" s="356" customFormat="1" ht="11.4">
      <c r="A44" s="353" t="s">
        <v>149</v>
      </c>
      <c r="B44" s="354"/>
      <c r="C44" s="354"/>
      <c r="D44" s="354"/>
      <c r="E44" s="354"/>
      <c r="F44" s="354"/>
      <c r="G44" s="354"/>
      <c r="H44" s="354"/>
      <c r="I44" s="354"/>
      <c r="J44" s="354"/>
      <c r="K44" s="355"/>
    </row>
    <row r="45" spans="1:11" s="356" customFormat="1" ht="11.4">
      <c r="A45" s="360" t="s">
        <v>150</v>
      </c>
      <c r="B45" s="357">
        <f>'Sources and Uses Budget'!C45</f>
        <v>3692240</v>
      </c>
      <c r="C45" s="358" cm="1">
        <f t="array" ref="C45:C53">B45:B53</f>
        <v>3692240</v>
      </c>
      <c r="D45" s="358"/>
      <c r="E45" s="357">
        <f>'Sources and Uses Budget'!S45</f>
        <v>2291486</v>
      </c>
      <c r="F45" s="358" cm="1">
        <f t="array" ref="F45:F53">E45:E53</f>
        <v>2291486</v>
      </c>
      <c r="G45" s="358"/>
      <c r="H45" s="357">
        <f>'Sources and Uses Budget'!T45</f>
        <v>0</v>
      </c>
      <c r="I45" s="358"/>
      <c r="J45" s="358"/>
      <c r="K45" s="355"/>
    </row>
    <row r="46" spans="1:11" s="356" customFormat="1" ht="11.4">
      <c r="A46" s="360" t="s">
        <v>151</v>
      </c>
      <c r="B46" s="357">
        <f>'Sources and Uses Budget'!C46</f>
        <v>338722</v>
      </c>
      <c r="C46" s="358">
        <v>338722</v>
      </c>
      <c r="D46" s="358"/>
      <c r="E46" s="357">
        <f>'Sources and Uses Budget'!S46</f>
        <v>254041</v>
      </c>
      <c r="F46" s="358">
        <v>254041</v>
      </c>
      <c r="G46" s="358"/>
      <c r="H46" s="357">
        <f>'Sources and Uses Budget'!T46</f>
        <v>0</v>
      </c>
      <c r="I46" s="358"/>
      <c r="J46" s="358"/>
      <c r="K46" s="355"/>
    </row>
    <row r="47" spans="1:11" s="356" customFormat="1" ht="12" customHeight="1">
      <c r="A47" s="360" t="s">
        <v>152</v>
      </c>
      <c r="B47" s="357">
        <f>'Sources and Uses Budget'!C47</f>
        <v>0</v>
      </c>
      <c r="C47" s="358">
        <v>0</v>
      </c>
      <c r="D47" s="358"/>
      <c r="E47" s="357">
        <f>'Sources and Uses Budget'!S47</f>
        <v>0</v>
      </c>
      <c r="F47" s="358">
        <v>0</v>
      </c>
      <c r="G47" s="358"/>
      <c r="H47" s="357">
        <f>'Sources and Uses Budget'!T47</f>
        <v>0</v>
      </c>
      <c r="I47" s="358"/>
      <c r="J47" s="358"/>
      <c r="K47" s="355"/>
    </row>
    <row r="48" spans="1:11" s="356" customFormat="1" ht="11.4">
      <c r="A48" s="360" t="s">
        <v>153</v>
      </c>
      <c r="B48" s="357">
        <f>'Sources and Uses Budget'!C48</f>
        <v>0</v>
      </c>
      <c r="C48" s="358">
        <v>0</v>
      </c>
      <c r="D48" s="358"/>
      <c r="E48" s="357">
        <f>'Sources and Uses Budget'!S48</f>
        <v>0</v>
      </c>
      <c r="F48" s="358">
        <v>0</v>
      </c>
      <c r="G48" s="358"/>
      <c r="H48" s="357">
        <f>'Sources and Uses Budget'!T48</f>
        <v>0</v>
      </c>
      <c r="I48" s="358"/>
      <c r="J48" s="358"/>
      <c r="K48" s="355"/>
    </row>
    <row r="49" spans="1:11" s="356" customFormat="1" ht="11.4">
      <c r="A49" s="283" t="s">
        <v>57</v>
      </c>
      <c r="B49" s="357">
        <f>'Sources and Uses Budget'!C49</f>
        <v>75398</v>
      </c>
      <c r="C49" s="358">
        <v>75398</v>
      </c>
      <c r="D49" s="358"/>
      <c r="E49" s="357">
        <f>'Sources and Uses Budget'!S49</f>
        <v>75398</v>
      </c>
      <c r="F49" s="358">
        <v>75398</v>
      </c>
      <c r="G49" s="358"/>
      <c r="H49" s="357">
        <f>'Sources and Uses Budget'!T49</f>
        <v>0</v>
      </c>
      <c r="I49" s="358"/>
      <c r="J49" s="358"/>
      <c r="K49" s="355"/>
    </row>
    <row r="50" spans="1:11" s="356" customFormat="1" ht="11.4">
      <c r="A50" s="360" t="s">
        <v>156</v>
      </c>
      <c r="B50" s="357">
        <f>'Sources and Uses Budget'!C50</f>
        <v>100000</v>
      </c>
      <c r="C50" s="358">
        <v>100000</v>
      </c>
      <c r="D50" s="358"/>
      <c r="E50" s="357">
        <f>'Sources and Uses Budget'!S50</f>
        <v>75000</v>
      </c>
      <c r="F50" s="358">
        <v>75000</v>
      </c>
      <c r="G50" s="358"/>
      <c r="H50" s="357">
        <f>'Sources and Uses Budget'!T50</f>
        <v>0</v>
      </c>
      <c r="I50" s="358"/>
      <c r="J50" s="358"/>
      <c r="K50" s="355"/>
    </row>
    <row r="51" spans="1:11" s="356" customFormat="1" ht="11.4">
      <c r="A51" s="360" t="s">
        <v>154</v>
      </c>
      <c r="B51" s="357">
        <f>'Sources and Uses Budget'!C51</f>
        <v>120000</v>
      </c>
      <c r="C51" s="358">
        <v>120000</v>
      </c>
      <c r="D51" s="358"/>
      <c r="E51" s="357">
        <f>'Sources and Uses Budget'!S51</f>
        <v>120000</v>
      </c>
      <c r="F51" s="358">
        <v>120000</v>
      </c>
      <c r="G51" s="358"/>
      <c r="H51" s="357">
        <f>'Sources and Uses Budget'!T51</f>
        <v>0</v>
      </c>
      <c r="I51" s="358"/>
      <c r="J51" s="358"/>
      <c r="K51" s="355"/>
    </row>
    <row r="52" spans="1:11" s="356" customFormat="1" ht="11.4">
      <c r="A52" s="360" t="s">
        <v>155</v>
      </c>
      <c r="B52" s="357">
        <f>'Sources and Uses Budget'!C52</f>
        <v>480000</v>
      </c>
      <c r="C52" s="358">
        <v>480000</v>
      </c>
      <c r="D52" s="358"/>
      <c r="E52" s="357">
        <f>'Sources and Uses Budget'!S52</f>
        <v>480000</v>
      </c>
      <c r="F52" s="358">
        <v>480000</v>
      </c>
      <c r="G52" s="358"/>
      <c r="H52" s="357">
        <f>'Sources and Uses Budget'!T52</f>
        <v>0</v>
      </c>
      <c r="I52" s="358"/>
      <c r="J52" s="358"/>
      <c r="K52" s="355"/>
    </row>
    <row r="53" spans="1:11" s="356" customFormat="1" ht="57">
      <c r="A53" s="360" t="str">
        <f>'Sources and Uses Budget'!$A53</f>
        <v>Construction Monitoring+B-Bond Interest During Construction+Bond Holder Interest TE+Bond Holder Interest Taxable+Bond Underwriter/Investment Banking Fee+Other Bond Fees</v>
      </c>
      <c r="B53" s="357">
        <f>'Sources and Uses Budget'!C53</f>
        <v>4919751</v>
      </c>
      <c r="C53" s="358">
        <v>4919751</v>
      </c>
      <c r="D53" s="358"/>
      <c r="E53" s="357">
        <f>'Sources and Uses Budget'!S53</f>
        <v>4753084</v>
      </c>
      <c r="F53" s="358">
        <v>4753084</v>
      </c>
      <c r="G53" s="358"/>
      <c r="H53" s="357">
        <f>'Sources and Uses Budget'!T53</f>
        <v>0</v>
      </c>
      <c r="I53" s="358"/>
      <c r="J53" s="358"/>
      <c r="K53" s="355"/>
    </row>
    <row r="54" spans="1:11" s="365" customFormat="1">
      <c r="A54" s="361" t="s">
        <v>157</v>
      </c>
      <c r="B54" s="357">
        <f>'Sources and Uses Budget'!C54</f>
        <v>9726111</v>
      </c>
      <c r="C54" s="363">
        <f>SUM(C45:C53)</f>
        <v>9726111</v>
      </c>
      <c r="D54" s="363">
        <f>SUM(D45:D53)</f>
        <v>0</v>
      </c>
      <c r="E54" s="357">
        <f>'Sources and Uses Budget'!S54</f>
        <v>8049009</v>
      </c>
      <c r="F54" s="363">
        <f>SUM(F45:F53)</f>
        <v>8049009</v>
      </c>
      <c r="G54" s="363">
        <f>SUM(G45:G53)</f>
        <v>0</v>
      </c>
      <c r="H54" s="357">
        <f>'Sources and Uses Budget'!T54</f>
        <v>0</v>
      </c>
      <c r="I54" s="363">
        <f>SUM(I45:I53)</f>
        <v>0</v>
      </c>
      <c r="J54" s="363">
        <f>SUM(J45:J53)</f>
        <v>0</v>
      </c>
      <c r="K54" s="364"/>
    </row>
    <row r="55" spans="1:11" s="356" customFormat="1" ht="11.4">
      <c r="A55" s="353" t="s">
        <v>417</v>
      </c>
      <c r="B55" s="354"/>
      <c r="C55" s="354"/>
      <c r="D55" s="354"/>
      <c r="E55" s="354"/>
      <c r="F55" s="354"/>
      <c r="G55" s="354"/>
      <c r="H55" s="354"/>
      <c r="I55" s="354"/>
      <c r="J55" s="354"/>
      <c r="K55" s="355"/>
    </row>
    <row r="56" spans="1:11" s="356" customFormat="1" ht="11.4">
      <c r="A56" s="360" t="s">
        <v>158</v>
      </c>
      <c r="B56" s="357">
        <f>'Sources and Uses Budget'!C56</f>
        <v>0</v>
      </c>
      <c r="C56" s="358" cm="1">
        <f t="array" ref="C56:C61">B56:B61</f>
        <v>0</v>
      </c>
      <c r="D56" s="358"/>
      <c r="E56" s="359"/>
      <c r="F56" s="359"/>
      <c r="G56" s="359"/>
      <c r="H56" s="359"/>
      <c r="I56" s="359"/>
      <c r="J56" s="359"/>
      <c r="K56" s="355"/>
    </row>
    <row r="57" spans="1:11" s="356" customFormat="1" ht="12" customHeight="1">
      <c r="A57" s="360" t="s">
        <v>152</v>
      </c>
      <c r="B57" s="357">
        <f>'Sources and Uses Budget'!C57</f>
        <v>0</v>
      </c>
      <c r="C57" s="358">
        <v>0</v>
      </c>
      <c r="D57" s="358"/>
      <c r="E57" s="359"/>
      <c r="F57" s="359"/>
      <c r="G57" s="359"/>
      <c r="H57" s="359"/>
      <c r="I57" s="359"/>
      <c r="J57" s="359"/>
      <c r="K57" s="355"/>
    </row>
    <row r="58" spans="1:11" s="356" customFormat="1" ht="11.4">
      <c r="A58" s="360" t="s">
        <v>156</v>
      </c>
      <c r="B58" s="357">
        <f>'Sources and Uses Budget'!C58</f>
        <v>10000</v>
      </c>
      <c r="C58" s="358">
        <v>10000</v>
      </c>
      <c r="D58" s="358"/>
      <c r="E58" s="359"/>
      <c r="F58" s="359"/>
      <c r="G58" s="359"/>
      <c r="H58" s="359"/>
      <c r="I58" s="359"/>
      <c r="J58" s="359"/>
      <c r="K58" s="355"/>
    </row>
    <row r="59" spans="1:11" s="356" customFormat="1" ht="11.4">
      <c r="A59" s="360" t="s">
        <v>154</v>
      </c>
      <c r="B59" s="357">
        <f>'Sources and Uses Budget'!C59</f>
        <v>0</v>
      </c>
      <c r="C59" s="358">
        <v>0</v>
      </c>
      <c r="D59" s="358"/>
      <c r="E59" s="359"/>
      <c r="F59" s="359"/>
      <c r="G59" s="359"/>
      <c r="H59" s="359"/>
      <c r="I59" s="359"/>
      <c r="J59" s="359"/>
      <c r="K59" s="355"/>
    </row>
    <row r="60" spans="1:11" s="356" customFormat="1" ht="11.4">
      <c r="A60" s="360" t="s">
        <v>155</v>
      </c>
      <c r="B60" s="357">
        <f>'Sources and Uses Budget'!C60</f>
        <v>0</v>
      </c>
      <c r="C60" s="358">
        <v>0</v>
      </c>
      <c r="D60" s="358"/>
      <c r="E60" s="359"/>
      <c r="F60" s="359"/>
      <c r="G60" s="359"/>
      <c r="H60" s="359"/>
      <c r="I60" s="359"/>
      <c r="J60" s="359"/>
      <c r="K60" s="355"/>
    </row>
    <row r="61" spans="1:11" s="356" customFormat="1" ht="11.4">
      <c r="A61" s="360" t="str">
        <f>'Sources and Uses Budget'!$A61</f>
        <v>Leagl for Perm Loan+B-Bond Underwriter</v>
      </c>
      <c r="B61" s="357">
        <f>'Sources and Uses Budget'!C61</f>
        <v>65000</v>
      </c>
      <c r="C61" s="358">
        <v>65000</v>
      </c>
      <c r="D61" s="358"/>
      <c r="E61" s="359"/>
      <c r="F61" s="359"/>
      <c r="G61" s="359"/>
      <c r="H61" s="359"/>
      <c r="I61" s="359"/>
      <c r="J61" s="359"/>
      <c r="K61" s="355"/>
    </row>
    <row r="62" spans="1:11" s="356" customFormat="1" ht="13.65" customHeight="1">
      <c r="A62" s="361" t="s">
        <v>301</v>
      </c>
      <c r="B62" s="357">
        <f>'Sources and Uses Budget'!C62</f>
        <v>75000</v>
      </c>
      <c r="C62" s="357">
        <f>SUM(C56:C61)</f>
        <v>75000</v>
      </c>
      <c r="D62" s="357">
        <f>SUM(D56:D61)</f>
        <v>0</v>
      </c>
      <c r="E62" s="359"/>
      <c r="F62" s="359"/>
      <c r="G62" s="359"/>
      <c r="H62" s="359"/>
      <c r="I62" s="359"/>
      <c r="J62" s="359"/>
      <c r="K62" s="355"/>
    </row>
    <row r="63" spans="1:11" s="356" customFormat="1" ht="11.4">
      <c r="A63" s="366" t="s">
        <v>302</v>
      </c>
      <c r="B63" s="357">
        <f>'Sources and Uses Budget'!C63</f>
        <v>59676112</v>
      </c>
      <c r="C63" s="357">
        <f>SUM(C8+C11+C13+C14+C15+C26+C27+C38+C42+C43+C54+C62)</f>
        <v>59676112</v>
      </c>
      <c r="D63" s="357">
        <f>SUM(D8+D11+D13+D14+D15+D26+D27+D38+D42+D43+D54+D62)</f>
        <v>0</v>
      </c>
      <c r="E63" s="357">
        <f>'Sources and Uses Budget'!S63</f>
        <v>57924010</v>
      </c>
      <c r="F63" s="357">
        <f>SUM(F10+F13+F14+F15+F26+F27+F38+F42+F43+F54)</f>
        <v>57924010</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1630</v>
      </c>
      <c r="B64" s="354"/>
      <c r="C64" s="354"/>
      <c r="D64" s="354"/>
      <c r="E64" s="354"/>
      <c r="F64" s="354"/>
      <c r="G64" s="354"/>
      <c r="H64" s="354"/>
      <c r="I64" s="354"/>
      <c r="J64" s="354"/>
      <c r="K64" s="355"/>
    </row>
    <row r="65" spans="1:11" s="356" customFormat="1" ht="11.4">
      <c r="A65" s="145" t="s">
        <v>171</v>
      </c>
      <c r="B65" s="357">
        <f>'Sources and Uses Budget'!C65</f>
        <v>100000</v>
      </c>
      <c r="C65" s="358" cm="1">
        <f t="array" ref="C65:C69">B65:B69</f>
        <v>100000</v>
      </c>
      <c r="D65" s="358"/>
      <c r="E65" s="357">
        <f>'Sources and Uses Budget'!S65</f>
        <v>100000</v>
      </c>
      <c r="F65" s="358" cm="1">
        <f t="array" ref="F65:F69">E65:E69</f>
        <v>100000</v>
      </c>
      <c r="G65" s="358"/>
      <c r="H65" s="357">
        <f>'Sources and Uses Budget'!T65</f>
        <v>0</v>
      </c>
      <c r="I65" s="358"/>
      <c r="J65" s="358"/>
      <c r="K65" s="355"/>
    </row>
    <row r="66" spans="1:11" s="356" customFormat="1" ht="22.8">
      <c r="A66" s="283" t="s">
        <v>1627</v>
      </c>
      <c r="B66" s="357">
        <f>'Sources and Uses Budget'!C66</f>
        <v>0</v>
      </c>
      <c r="C66" s="358">
        <v>0</v>
      </c>
      <c r="D66" s="358"/>
      <c r="E66" s="357">
        <f>'Sources and Uses Budget'!S66</f>
        <v>0</v>
      </c>
      <c r="F66" s="358">
        <v>0</v>
      </c>
      <c r="G66" s="358"/>
      <c r="H66" s="357">
        <f>'Sources and Uses Budget'!T66</f>
        <v>0</v>
      </c>
      <c r="I66" s="358"/>
      <c r="J66" s="358"/>
      <c r="K66" s="355"/>
    </row>
    <row r="67" spans="1:11" s="356" customFormat="1" ht="22.8">
      <c r="A67" s="283" t="s">
        <v>1628</v>
      </c>
      <c r="B67" s="357">
        <f>'Sources and Uses Budget'!C67</f>
        <v>0</v>
      </c>
      <c r="C67" s="358">
        <v>0</v>
      </c>
      <c r="D67" s="358"/>
      <c r="E67" s="357">
        <f>'Sources and Uses Budget'!S67</f>
        <v>0</v>
      </c>
      <c r="F67" s="358">
        <v>0</v>
      </c>
      <c r="G67" s="358"/>
      <c r="H67" s="357">
        <f>'Sources and Uses Budget'!T67</f>
        <v>0</v>
      </c>
      <c r="I67" s="358"/>
      <c r="J67" s="358"/>
      <c r="K67" s="355"/>
    </row>
    <row r="68" spans="1:11" s="356" customFormat="1" ht="11.4">
      <c r="A68" s="283" t="s">
        <v>1634</v>
      </c>
      <c r="B68" s="357">
        <f>'Sources and Uses Budget'!C68</f>
        <v>0</v>
      </c>
      <c r="C68" s="358">
        <v>0</v>
      </c>
      <c r="D68" s="358"/>
      <c r="E68" s="357">
        <f>'Sources and Uses Budget'!S68</f>
        <v>0</v>
      </c>
      <c r="F68" s="358">
        <v>0</v>
      </c>
      <c r="G68" s="358"/>
      <c r="H68" s="357">
        <f>'Sources and Uses Budget'!T68</f>
        <v>0</v>
      </c>
      <c r="I68" s="358"/>
      <c r="J68" s="358"/>
      <c r="K68" s="355"/>
    </row>
    <row r="69" spans="1:11" s="356" customFormat="1" ht="11.4">
      <c r="A69" s="360" t="str">
        <f>'Sources and Uses Budget'!$A69</f>
        <v>Lender Legal+Safehold</v>
      </c>
      <c r="B69" s="357">
        <f>'Sources and Uses Budget'!C69</f>
        <v>350000</v>
      </c>
      <c r="C69" s="358">
        <v>350000</v>
      </c>
      <c r="D69" s="358"/>
      <c r="E69" s="357">
        <f>'Sources and Uses Budget'!S69</f>
        <v>75000</v>
      </c>
      <c r="F69" s="358">
        <v>75000</v>
      </c>
      <c r="G69" s="358"/>
      <c r="H69" s="357">
        <f>'Sources and Uses Budget'!T69</f>
        <v>0</v>
      </c>
      <c r="I69" s="358"/>
      <c r="J69" s="358"/>
      <c r="K69" s="355"/>
    </row>
    <row r="70" spans="1:11" s="356" customFormat="1">
      <c r="A70" s="361" t="s">
        <v>599</v>
      </c>
      <c r="B70" s="357">
        <f>'Sources and Uses Budget'!C70</f>
        <v>450000</v>
      </c>
      <c r="C70" s="357">
        <f>SUM(C64:C69)</f>
        <v>450000</v>
      </c>
      <c r="D70" s="357">
        <f>SUM(D64:D69)</f>
        <v>0</v>
      </c>
      <c r="E70" s="357">
        <f>'Sources and Uses Budget'!S70</f>
        <v>175000</v>
      </c>
      <c r="F70" s="363">
        <f>SUM(F65:F69)</f>
        <v>175000</v>
      </c>
      <c r="G70" s="363">
        <f>SUM(G65:G69)</f>
        <v>0</v>
      </c>
      <c r="H70" s="357">
        <f>'Sources and Uses Budget'!T70</f>
        <v>0</v>
      </c>
      <c r="I70" s="363">
        <f>SUM(I65:I69)</f>
        <v>0</v>
      </c>
      <c r="J70" s="363">
        <f>SUM(J65:J69)</f>
        <v>0</v>
      </c>
      <c r="K70" s="355"/>
    </row>
    <row r="71" spans="1:11" s="356" customFormat="1" ht="11.4">
      <c r="A71" s="353" t="s">
        <v>600</v>
      </c>
      <c r="B71" s="354"/>
      <c r="C71" s="354"/>
      <c r="D71" s="354"/>
      <c r="E71" s="354"/>
      <c r="F71" s="354"/>
      <c r="G71" s="354"/>
      <c r="H71" s="354"/>
      <c r="I71" s="354"/>
      <c r="J71" s="354"/>
      <c r="K71" s="355"/>
    </row>
    <row r="72" spans="1:11" s="356" customFormat="1" ht="11.4">
      <c r="A72" s="360" t="s">
        <v>601</v>
      </c>
      <c r="B72" s="357">
        <f>'Sources and Uses Budget'!C72</f>
        <v>0</v>
      </c>
      <c r="C72" s="358" cm="1">
        <f t="array" ref="C72:C76">B72:B76</f>
        <v>0</v>
      </c>
      <c r="D72" s="358"/>
      <c r="E72" s="359"/>
      <c r="F72" s="359"/>
      <c r="G72" s="359"/>
      <c r="H72" s="359"/>
      <c r="I72" s="359"/>
      <c r="J72" s="359"/>
      <c r="K72" s="355"/>
    </row>
    <row r="73" spans="1:11" s="356" customFormat="1" ht="11.4">
      <c r="A73" s="360" t="s">
        <v>602</v>
      </c>
      <c r="B73" s="357">
        <f>'Sources and Uses Budget'!C73</f>
        <v>0</v>
      </c>
      <c r="C73" s="358">
        <v>0</v>
      </c>
      <c r="D73" s="358"/>
      <c r="E73" s="359"/>
      <c r="F73" s="359"/>
      <c r="G73" s="359"/>
      <c r="H73" s="359"/>
      <c r="I73" s="359"/>
      <c r="J73" s="359"/>
      <c r="K73" s="355"/>
    </row>
    <row r="74" spans="1:11" s="356" customFormat="1" ht="11.4">
      <c r="A74" s="362" t="s">
        <v>984</v>
      </c>
      <c r="B74" s="357">
        <f>'Sources and Uses Budget'!C74</f>
        <v>0</v>
      </c>
      <c r="C74" s="358">
        <v>0</v>
      </c>
      <c r="D74" s="358"/>
      <c r="E74" s="359"/>
      <c r="F74" s="359"/>
      <c r="G74" s="359"/>
      <c r="H74" s="359"/>
      <c r="I74" s="359"/>
      <c r="J74" s="359"/>
      <c r="K74" s="355"/>
    </row>
    <row r="75" spans="1:11" s="356" customFormat="1" ht="11.4">
      <c r="A75" s="360" t="s">
        <v>603</v>
      </c>
      <c r="B75" s="357">
        <f>'Sources and Uses Budget'!C75</f>
        <v>782824</v>
      </c>
      <c r="C75" s="358">
        <v>782824</v>
      </c>
      <c r="D75" s="358"/>
      <c r="E75" s="359"/>
      <c r="F75" s="359"/>
      <c r="G75" s="359"/>
      <c r="H75" s="359"/>
      <c r="I75" s="359"/>
      <c r="J75" s="359"/>
      <c r="K75" s="355"/>
    </row>
    <row r="76" spans="1:11" s="356" customFormat="1" ht="11.4">
      <c r="A76" s="360" t="str">
        <f>'Sources and Uses Budget'!$A76</f>
        <v>Other: (Specify)</v>
      </c>
      <c r="B76" s="357">
        <f>'Sources and Uses Budget'!C76</f>
        <v>0</v>
      </c>
      <c r="C76" s="358">
        <v>0</v>
      </c>
      <c r="D76" s="358"/>
      <c r="E76" s="359"/>
      <c r="F76" s="359"/>
      <c r="G76" s="359"/>
      <c r="H76" s="359"/>
      <c r="I76" s="359"/>
      <c r="J76" s="359"/>
      <c r="K76" s="355"/>
    </row>
    <row r="77" spans="1:11" s="356" customFormat="1">
      <c r="A77" s="361" t="s">
        <v>604</v>
      </c>
      <c r="B77" s="357">
        <f>'Sources and Uses Budget'!C77</f>
        <v>782824</v>
      </c>
      <c r="C77" s="357">
        <f>SUM(C72:C76)</f>
        <v>782824</v>
      </c>
      <c r="D77" s="357">
        <f>SUM(D72:D76)</f>
        <v>0</v>
      </c>
      <c r="E77" s="359"/>
      <c r="F77" s="359"/>
      <c r="G77" s="359"/>
      <c r="H77" s="359"/>
      <c r="I77" s="359"/>
      <c r="J77" s="359"/>
      <c r="K77" s="355"/>
    </row>
    <row r="78" spans="1:11" s="356" customFormat="1" ht="11.4">
      <c r="A78" s="353" t="s">
        <v>1207</v>
      </c>
      <c r="B78" s="354"/>
      <c r="C78" s="354"/>
      <c r="D78" s="354"/>
      <c r="E78" s="354"/>
      <c r="F78" s="354"/>
      <c r="G78" s="354"/>
      <c r="H78" s="354"/>
      <c r="I78" s="354"/>
      <c r="J78" s="354"/>
      <c r="K78" s="355"/>
    </row>
    <row r="79" spans="1:11" s="356" customFormat="1" ht="11.4">
      <c r="A79" s="360" t="s">
        <v>1209</v>
      </c>
      <c r="B79" s="357">
        <f>'Sources and Uses Budget'!C79</f>
        <v>2401250</v>
      </c>
      <c r="C79" s="358" cm="1">
        <f t="array" ref="C79:C80">B79:B80</f>
        <v>2401250</v>
      </c>
      <c r="D79" s="358"/>
      <c r="E79" s="357">
        <f>'Sources and Uses Budget'!S79</f>
        <v>2401250</v>
      </c>
      <c r="F79" s="358" cm="1">
        <f t="array" ref="F79:F80">E79:E80</f>
        <v>2401250</v>
      </c>
      <c r="G79" s="358"/>
      <c r="H79" s="357">
        <f>'Sources and Uses Budget'!T79</f>
        <v>0</v>
      </c>
      <c r="I79" s="358"/>
      <c r="J79" s="358"/>
      <c r="K79" s="355"/>
    </row>
    <row r="80" spans="1:11" s="356" customFormat="1" ht="11.4">
      <c r="A80" s="360" t="s">
        <v>58</v>
      </c>
      <c r="B80" s="357">
        <f>'Sources and Uses Budget'!C80</f>
        <v>812455</v>
      </c>
      <c r="C80" s="358">
        <v>812455</v>
      </c>
      <c r="D80" s="358"/>
      <c r="E80" s="357">
        <f>'Sources and Uses Budget'!S80</f>
        <v>812455</v>
      </c>
      <c r="F80" s="358">
        <v>812455</v>
      </c>
      <c r="G80" s="358"/>
      <c r="H80" s="357">
        <f>'Sources and Uses Budget'!T80</f>
        <v>0</v>
      </c>
      <c r="I80" s="358"/>
      <c r="J80" s="358"/>
      <c r="K80" s="355"/>
    </row>
    <row r="81" spans="1:11" s="356" customFormat="1">
      <c r="A81" s="361" t="s">
        <v>1206</v>
      </c>
      <c r="B81" s="357">
        <f>'Sources and Uses Budget'!C81</f>
        <v>3213705</v>
      </c>
      <c r="C81" s="357">
        <f>SUM(C79:C80)</f>
        <v>3213705</v>
      </c>
      <c r="D81" s="357">
        <f>SUM(D79:D80)</f>
        <v>0</v>
      </c>
      <c r="E81" s="357">
        <f>'Sources and Uses Budget'!S81</f>
        <v>3213705</v>
      </c>
      <c r="F81" s="357">
        <f>SUM(F79:F80)</f>
        <v>3213705</v>
      </c>
      <c r="G81" s="357">
        <f>SUM(G79:G80)</f>
        <v>0</v>
      </c>
      <c r="H81" s="357">
        <f>'Sources and Uses Budget'!T81</f>
        <v>0</v>
      </c>
      <c r="I81" s="357">
        <f>SUM(I79:I80)</f>
        <v>0</v>
      </c>
      <c r="J81" s="357">
        <f>SUM(J79:J80)</f>
        <v>0</v>
      </c>
      <c r="K81" s="355"/>
    </row>
    <row r="82" spans="1:11" s="356" customFormat="1" ht="11.4">
      <c r="A82" s="353" t="s">
        <v>763</v>
      </c>
      <c r="B82" s="354"/>
      <c r="C82" s="354"/>
      <c r="D82" s="354"/>
      <c r="E82" s="354"/>
      <c r="F82" s="354"/>
      <c r="G82" s="354"/>
      <c r="H82" s="354"/>
      <c r="I82" s="354"/>
      <c r="J82" s="354"/>
      <c r="K82" s="355"/>
    </row>
    <row r="83" spans="1:11" s="356" customFormat="1" ht="13.65" customHeight="1">
      <c r="A83" s="145" t="s">
        <v>2042</v>
      </c>
      <c r="B83" s="357">
        <f>'Sources and Uses Budget'!C83</f>
        <v>120352</v>
      </c>
      <c r="C83" s="358" cm="1">
        <f t="array" ref="C83:C95">B83:B95</f>
        <v>120352</v>
      </c>
      <c r="D83" s="358"/>
      <c r="E83" s="359"/>
      <c r="F83" s="359"/>
      <c r="G83" s="359"/>
      <c r="H83" s="359"/>
      <c r="I83" s="359"/>
      <c r="J83" s="359"/>
      <c r="K83" s="355"/>
    </row>
    <row r="84" spans="1:11" s="356" customFormat="1" ht="11.4">
      <c r="A84" s="145" t="s">
        <v>765</v>
      </c>
      <c r="B84" s="357">
        <f>'Sources and Uses Budget'!C84</f>
        <v>50000</v>
      </c>
      <c r="C84" s="358">
        <v>50000</v>
      </c>
      <c r="D84" s="358"/>
      <c r="E84" s="357">
        <f>'Sources and Uses Budget'!S84</f>
        <v>50000</v>
      </c>
      <c r="F84" s="358" cm="1">
        <f t="array" ref="F84:F86">E84:E86</f>
        <v>50000</v>
      </c>
      <c r="G84" s="358"/>
      <c r="H84" s="357">
        <f>'Sources and Uses Budget'!T84</f>
        <v>0</v>
      </c>
      <c r="I84" s="358"/>
      <c r="J84" s="358"/>
      <c r="K84" s="355"/>
    </row>
    <row r="85" spans="1:11" s="356" customFormat="1" ht="11.4">
      <c r="A85" s="145" t="s">
        <v>766</v>
      </c>
      <c r="B85" s="357">
        <f>'Sources and Uses Budget'!C85</f>
        <v>3263654</v>
      </c>
      <c r="C85" s="358">
        <v>3263654</v>
      </c>
      <c r="D85" s="358"/>
      <c r="E85" s="357">
        <f>'Sources and Uses Budget'!S85</f>
        <v>3263654</v>
      </c>
      <c r="F85" s="358">
        <v>3263654</v>
      </c>
      <c r="G85" s="358"/>
      <c r="H85" s="357">
        <f>'Sources and Uses Budget'!T85</f>
        <v>0</v>
      </c>
      <c r="I85" s="358"/>
      <c r="J85" s="358"/>
      <c r="K85" s="355"/>
    </row>
    <row r="86" spans="1:11" s="356" customFormat="1" ht="11.4">
      <c r="A86" s="145" t="s">
        <v>767</v>
      </c>
      <c r="B86" s="357">
        <f>'Sources and Uses Budget'!C86</f>
        <v>691346</v>
      </c>
      <c r="C86" s="358">
        <v>691346</v>
      </c>
      <c r="D86" s="358"/>
      <c r="E86" s="357">
        <f>'Sources and Uses Budget'!S86</f>
        <v>691346</v>
      </c>
      <c r="F86" s="358">
        <v>691346</v>
      </c>
      <c r="G86" s="358"/>
      <c r="H86" s="357">
        <f>'Sources and Uses Budget'!T86</f>
        <v>0</v>
      </c>
      <c r="I86" s="358"/>
      <c r="J86" s="358"/>
      <c r="K86" s="355"/>
    </row>
    <row r="87" spans="1:11" s="356" customFormat="1" ht="11.4">
      <c r="A87" s="145" t="s">
        <v>768</v>
      </c>
      <c r="B87" s="357">
        <f>'Sources and Uses Budget'!C87</f>
        <v>0</v>
      </c>
      <c r="C87" s="358">
        <v>0</v>
      </c>
      <c r="D87" s="358"/>
      <c r="E87" s="357">
        <f>'Sources and Uses Budget'!S87</f>
        <v>0</v>
      </c>
      <c r="F87" s="358"/>
      <c r="G87" s="358"/>
      <c r="H87" s="357">
        <f>'Sources and Uses Budget'!T87</f>
        <v>0</v>
      </c>
      <c r="I87" s="358"/>
      <c r="J87" s="358"/>
      <c r="K87" s="355"/>
    </row>
    <row r="88" spans="1:11" s="356" customFormat="1" ht="11.4">
      <c r="A88" s="145" t="s">
        <v>769</v>
      </c>
      <c r="B88" s="357">
        <f>'Sources and Uses Budget'!C88</f>
        <v>150000</v>
      </c>
      <c r="C88" s="358">
        <v>150000</v>
      </c>
      <c r="D88" s="358"/>
      <c r="E88" s="359"/>
      <c r="F88" s="359"/>
      <c r="G88" s="359"/>
      <c r="H88" s="359"/>
      <c r="I88" s="359"/>
      <c r="J88" s="359"/>
      <c r="K88" s="355"/>
    </row>
    <row r="89" spans="1:11" s="356" customFormat="1" ht="11.4">
      <c r="A89" s="145" t="s">
        <v>770</v>
      </c>
      <c r="B89" s="357">
        <f>'Sources and Uses Budget'!C89</f>
        <v>150000</v>
      </c>
      <c r="C89" s="358">
        <v>150000</v>
      </c>
      <c r="D89" s="358"/>
      <c r="E89" s="357">
        <f>'Sources and Uses Budget'!S89</f>
        <v>150000</v>
      </c>
      <c r="F89" s="358" cm="1">
        <f t="array" ref="F89:F95">E89:E95</f>
        <v>150000</v>
      </c>
      <c r="G89" s="358"/>
      <c r="H89" s="357">
        <f>'Sources and Uses Budget'!T89</f>
        <v>0</v>
      </c>
      <c r="I89" s="358"/>
      <c r="J89" s="358"/>
      <c r="K89" s="355"/>
    </row>
    <row r="90" spans="1:11" s="356" customFormat="1" ht="11.4">
      <c r="A90" s="145" t="s">
        <v>771</v>
      </c>
      <c r="B90" s="357">
        <f>'Sources and Uses Budget'!C90</f>
        <v>15000</v>
      </c>
      <c r="C90" s="358">
        <v>15000</v>
      </c>
      <c r="D90" s="358"/>
      <c r="E90" s="357">
        <f>'Sources and Uses Budget'!S90</f>
        <v>15000</v>
      </c>
      <c r="F90" s="358">
        <v>15000</v>
      </c>
      <c r="G90" s="358"/>
      <c r="H90" s="357">
        <f>'Sources and Uses Budget'!T90</f>
        <v>0</v>
      </c>
      <c r="I90" s="358"/>
      <c r="J90" s="358"/>
      <c r="K90" s="355"/>
    </row>
    <row r="91" spans="1:11" s="356" customFormat="1" ht="11.4">
      <c r="A91" s="155" t="s">
        <v>371</v>
      </c>
      <c r="B91" s="357">
        <f>'Sources and Uses Budget'!C91</f>
        <v>50000</v>
      </c>
      <c r="C91" s="358">
        <v>50000</v>
      </c>
      <c r="D91" s="358"/>
      <c r="E91" s="357">
        <f>'Sources and Uses Budget'!S91</f>
        <v>50000</v>
      </c>
      <c r="F91" s="358">
        <v>50000</v>
      </c>
      <c r="G91" s="358"/>
      <c r="H91" s="357">
        <f>'Sources and Uses Budget'!T91</f>
        <v>0</v>
      </c>
      <c r="I91" s="358"/>
      <c r="J91" s="358"/>
      <c r="K91" s="355"/>
    </row>
    <row r="92" spans="1:11" s="356" customFormat="1" ht="11.4">
      <c r="A92" s="504" t="s">
        <v>1208</v>
      </c>
      <c r="B92" s="357">
        <f>'Sources and Uses Budget'!C92</f>
        <v>20000</v>
      </c>
      <c r="C92" s="358">
        <v>20000</v>
      </c>
      <c r="D92" s="358"/>
      <c r="E92" s="357">
        <f>'Sources and Uses Budget'!S92</f>
        <v>20000</v>
      </c>
      <c r="F92" s="358">
        <v>20000</v>
      </c>
      <c r="G92" s="358"/>
      <c r="H92" s="357">
        <f>'Sources and Uses Budget'!T92</f>
        <v>0</v>
      </c>
      <c r="I92" s="358"/>
      <c r="J92" s="358"/>
      <c r="K92" s="355"/>
    </row>
    <row r="93" spans="1:11" s="356" customFormat="1" ht="11.4">
      <c r="A93" s="360" t="str">
        <f>'Sources and Uses Budget'!$A93</f>
        <v>Relocation Cost+CDLAC Fees</v>
      </c>
      <c r="B93" s="357">
        <f>'Sources and Uses Budget'!C93</f>
        <v>13395</v>
      </c>
      <c r="C93" s="358">
        <v>13395</v>
      </c>
      <c r="D93" s="358"/>
      <c r="E93" s="357">
        <f>'Sources and Uses Budget'!S93</f>
        <v>7395</v>
      </c>
      <c r="F93" s="358">
        <v>7395</v>
      </c>
      <c r="G93" s="358"/>
      <c r="H93" s="357">
        <f>'Sources and Uses Budget'!T93</f>
        <v>0</v>
      </c>
      <c r="I93" s="358"/>
      <c r="J93" s="358"/>
      <c r="K93" s="355"/>
    </row>
    <row r="94" spans="1:11" s="356" customFormat="1" ht="11.4">
      <c r="A94" s="360" t="str">
        <f>'Sources and Uses Budget'!$A94</f>
        <v>Misc Third Party Fees</v>
      </c>
      <c r="B94" s="357">
        <f>'Sources and Uses Budget'!C94</f>
        <v>500000</v>
      </c>
      <c r="C94" s="358">
        <v>500000</v>
      </c>
      <c r="D94" s="358"/>
      <c r="E94" s="357">
        <f>'Sources and Uses Budget'!S94</f>
        <v>500000</v>
      </c>
      <c r="F94" s="358">
        <v>500000</v>
      </c>
      <c r="G94" s="358"/>
      <c r="H94" s="357">
        <f>'Sources and Uses Budget'!T94</f>
        <v>0</v>
      </c>
      <c r="I94" s="358"/>
      <c r="J94" s="358"/>
      <c r="K94" s="355"/>
    </row>
    <row r="95" spans="1:11" s="356" customFormat="1" ht="11.4">
      <c r="A95" s="360" t="str">
        <f>'Sources and Uses Budget'!$A95</f>
        <v>Predevelopment Loan Interest</v>
      </c>
      <c r="B95" s="357">
        <f>'Sources and Uses Budget'!C95</f>
        <v>750000</v>
      </c>
      <c r="C95" s="358">
        <v>750000</v>
      </c>
      <c r="D95" s="358"/>
      <c r="E95" s="357">
        <f>'Sources and Uses Budget'!S95</f>
        <v>750000</v>
      </c>
      <c r="F95" s="358">
        <v>750000</v>
      </c>
      <c r="G95" s="358"/>
      <c r="H95" s="357">
        <f>'Sources and Uses Budget'!T95</f>
        <v>0</v>
      </c>
      <c r="I95" s="358"/>
      <c r="J95" s="358"/>
      <c r="K95" s="355"/>
    </row>
    <row r="96" spans="1:11" s="356" customFormat="1">
      <c r="A96" s="361" t="s">
        <v>772</v>
      </c>
      <c r="B96" s="357">
        <f>'Sources and Uses Budget'!C96</f>
        <v>5773747</v>
      </c>
      <c r="C96" s="357">
        <f>SUM(C83:C95)</f>
        <v>5773747</v>
      </c>
      <c r="D96" s="357">
        <f>SUM(D83:D95)</f>
        <v>0</v>
      </c>
      <c r="E96" s="357">
        <f>'Sources and Uses Budget'!S96</f>
        <v>5497395</v>
      </c>
      <c r="F96" s="363">
        <f>SUM(F84:F87,F89:F95)</f>
        <v>5497395</v>
      </c>
      <c r="G96" s="363">
        <f>SUM(G84:G87,G89:G95)</f>
        <v>0</v>
      </c>
      <c r="H96" s="357">
        <f>'Sources and Uses Budget'!T96</f>
        <v>0</v>
      </c>
      <c r="I96" s="357">
        <f>SUM(I84:I87,I89:I95)</f>
        <v>0</v>
      </c>
      <c r="J96" s="357">
        <f>SUM(J84:J87,J89:J95)</f>
        <v>0</v>
      </c>
      <c r="K96" s="355"/>
    </row>
    <row r="97" spans="1:11" s="356" customFormat="1">
      <c r="A97" s="361" t="s">
        <v>1027</v>
      </c>
      <c r="B97" s="357">
        <f>'Sources and Uses Budget'!C97</f>
        <v>69896388</v>
      </c>
      <c r="C97" s="357">
        <f>SUM(C63+C70+C77+C81+C96)</f>
        <v>69896388</v>
      </c>
      <c r="D97" s="357">
        <f>SUM(D63+D70+D77+D81+D96)</f>
        <v>0</v>
      </c>
      <c r="E97" s="357">
        <f>'Sources and Uses Budget'!S97</f>
        <v>66810110</v>
      </c>
      <c r="F97" s="363">
        <f>SUM(+F63+F70+F81+F96)</f>
        <v>66810110</v>
      </c>
      <c r="G97" s="363">
        <f>SUM(+G63+G70+G81+G96)</f>
        <v>0</v>
      </c>
      <c r="H97" s="357">
        <f>'Sources and Uses Budget'!T97</f>
        <v>0</v>
      </c>
      <c r="I97" s="363">
        <f>SUM(I63+I70+I81+I96)</f>
        <v>0</v>
      </c>
      <c r="J97" s="363">
        <f>SUM(J63+J70+J81+J96)</f>
        <v>0</v>
      </c>
      <c r="K97" s="355"/>
    </row>
    <row r="98" spans="1:11" s="356" customFormat="1" ht="11.4">
      <c r="A98" s="353" t="s">
        <v>774</v>
      </c>
      <c r="B98" s="354"/>
      <c r="C98" s="354"/>
      <c r="D98" s="354"/>
      <c r="E98" s="354"/>
      <c r="F98" s="354"/>
      <c r="G98" s="354"/>
      <c r="H98" s="354"/>
      <c r="I98" s="354"/>
      <c r="J98" s="354"/>
      <c r="K98" s="355"/>
    </row>
    <row r="99" spans="1:11" s="356" customFormat="1" ht="11.4">
      <c r="A99" s="145" t="s">
        <v>775</v>
      </c>
      <c r="B99" s="357">
        <f>'Sources and Uses Budget'!C99</f>
        <v>10021516</v>
      </c>
      <c r="C99" s="358">
        <f>B99</f>
        <v>10021516</v>
      </c>
      <c r="D99" s="358"/>
      <c r="E99" s="357">
        <f>'Sources and Uses Budget'!S99</f>
        <v>10021516</v>
      </c>
      <c r="F99" s="358">
        <f>E99</f>
        <v>10021516</v>
      </c>
      <c r="G99" s="358"/>
      <c r="H99" s="357">
        <f>'Sources and Uses Budget'!T99</f>
        <v>0</v>
      </c>
      <c r="I99" s="358"/>
      <c r="J99" s="358"/>
      <c r="K99" s="355"/>
    </row>
    <row r="100" spans="1:11" s="356" customFormat="1" ht="11.4">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1.4">
      <c r="A101" s="145" t="s">
        <v>776</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1.4">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777</v>
      </c>
      <c r="B104" s="357">
        <f>'Sources and Uses Budget'!C104</f>
        <v>10021516</v>
      </c>
      <c r="C104" s="357">
        <f>SUM(C99:C103)</f>
        <v>10021516</v>
      </c>
      <c r="D104" s="357">
        <f>SUM(D99:D103)</f>
        <v>0</v>
      </c>
      <c r="E104" s="357">
        <f>'Sources and Uses Budget'!S104</f>
        <v>10021516</v>
      </c>
      <c r="F104" s="363">
        <f>SUM(F99:F103)</f>
        <v>10021516</v>
      </c>
      <c r="G104" s="363">
        <f>SUM(G99:G103)</f>
        <v>0</v>
      </c>
      <c r="H104" s="357">
        <f>'Sources and Uses Budget'!T104</f>
        <v>0</v>
      </c>
      <c r="I104" s="363">
        <f>SUM(I99:I103)</f>
        <v>0</v>
      </c>
      <c r="J104" s="363">
        <f>SUM(J99:J103)</f>
        <v>0</v>
      </c>
      <c r="K104" s="355"/>
    </row>
    <row r="105" spans="1:11" s="356" customFormat="1">
      <c r="A105" s="361" t="s">
        <v>1028</v>
      </c>
      <c r="B105" s="357">
        <f>'Sources and Uses Budget'!C105</f>
        <v>79917904</v>
      </c>
      <c r="C105" s="363">
        <f>SUM(C97+C104)</f>
        <v>79917904</v>
      </c>
      <c r="D105" s="363">
        <f>SUM(D97+D104)</f>
        <v>0</v>
      </c>
      <c r="E105" s="357">
        <f>'Sources and Uses Budget'!S105</f>
        <v>76831626</v>
      </c>
      <c r="F105" s="363">
        <f>F97+F104</f>
        <v>76831626</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76831626</v>
      </c>
      <c r="F107" s="363">
        <f>F105+F106</f>
        <v>76831626</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2">
      <c r="A111" s="373"/>
      <c r="B111" s="371"/>
      <c r="C111" s="371"/>
      <c r="D111" s="371"/>
      <c r="J111" s="372"/>
      <c r="K111" s="355"/>
    </row>
    <row r="112" spans="1:11" s="356" customFormat="1" ht="13.2">
      <c r="A112" s="373"/>
      <c r="B112" s="371"/>
      <c r="C112" s="371"/>
      <c r="D112" s="371"/>
      <c r="J112" s="372"/>
      <c r="K112" s="355"/>
    </row>
    <row r="113" spans="1:11" s="356" customFormat="1" ht="15.6">
      <c r="A113" s="374"/>
      <c r="B113" s="371"/>
      <c r="C113" s="371"/>
      <c r="D113" s="371"/>
      <c r="J113" s="372"/>
      <c r="K113" s="355"/>
    </row>
    <row r="114" spans="1:11" s="356" customFormat="1" ht="13.2">
      <c r="A114" s="373"/>
      <c r="J114" s="372"/>
      <c r="K114" s="355"/>
    </row>
    <row r="115" spans="1:11" s="356" customFormat="1" ht="15.6">
      <c r="A115" s="374"/>
      <c r="J115" s="372"/>
      <c r="K115" s="355"/>
    </row>
    <row r="116" spans="1:11" s="356" customFormat="1" ht="15.6">
      <c r="A116" s="374"/>
      <c r="J116" s="372"/>
      <c r="K116" s="355"/>
    </row>
    <row r="117" spans="1:11" s="356" customFormat="1" ht="11.4">
      <c r="B117" s="371"/>
      <c r="C117" s="371"/>
      <c r="D117" s="371"/>
      <c r="J117" s="372"/>
      <c r="K117" s="355"/>
    </row>
    <row r="118" spans="1:11" s="356" customFormat="1" ht="11.4">
      <c r="J118" s="372"/>
      <c r="K118" s="355"/>
    </row>
    <row r="119" spans="1:11" s="356" customFormat="1" ht="11.4">
      <c r="J119" s="372"/>
      <c r="K119" s="355"/>
    </row>
    <row r="120" spans="1:11" s="356" customFormat="1" ht="11.4">
      <c r="J120" s="372"/>
      <c r="K120" s="355"/>
    </row>
    <row r="121" spans="1:11" s="356" customFormat="1" ht="15.6">
      <c r="A121" s="374"/>
      <c r="J121" s="372"/>
      <c r="K121" s="355"/>
    </row>
    <row r="122" spans="1:11" s="376" customFormat="1" ht="15.6">
      <c r="A122" s="375"/>
      <c r="J122" s="377"/>
      <c r="K122" s="378"/>
    </row>
    <row r="123" spans="1:11" s="356" customFormat="1" ht="11.4">
      <c r="A123" s="379"/>
      <c r="J123" s="372"/>
      <c r="K123" s="355"/>
    </row>
    <row r="124" spans="1:11" s="356" customFormat="1" ht="11.4">
      <c r="B124" s="380"/>
      <c r="D124" s="1957"/>
      <c r="E124" s="1374"/>
      <c r="F124" s="1374"/>
      <c r="G124" s="1374"/>
      <c r="H124" s="1374"/>
      <c r="I124" s="1374"/>
      <c r="J124" s="372"/>
      <c r="K124" s="355"/>
    </row>
    <row r="125" spans="1:11" s="356" customFormat="1" ht="13.2">
      <c r="A125" s="381"/>
      <c r="B125" s="380"/>
      <c r="C125" s="381"/>
      <c r="D125" s="1374"/>
      <c r="E125" s="1374"/>
      <c r="F125" s="1374"/>
      <c r="G125" s="1374"/>
      <c r="H125" s="1374"/>
      <c r="I125" s="1374"/>
      <c r="J125" s="372"/>
      <c r="K125" s="355"/>
    </row>
    <row r="126" spans="1:11" s="356" customFormat="1" ht="13.2">
      <c r="A126" s="381"/>
      <c r="B126" s="380"/>
      <c r="C126" s="381"/>
      <c r="D126" s="1374"/>
      <c r="E126" s="1374"/>
      <c r="F126" s="1374"/>
      <c r="G126" s="1374"/>
      <c r="H126" s="1374"/>
      <c r="I126" s="1374"/>
      <c r="J126" s="372"/>
      <c r="K126" s="355"/>
    </row>
    <row r="127" spans="1:11" s="356" customFormat="1" ht="13.2">
      <c r="A127" s="381"/>
      <c r="B127" s="380"/>
      <c r="C127" s="381"/>
      <c r="D127" s="382"/>
      <c r="E127" s="381"/>
      <c r="F127" s="381"/>
      <c r="G127" s="381"/>
      <c r="J127" s="372"/>
      <c r="K127" s="355"/>
    </row>
    <row r="128" spans="1:11" s="356" customFormat="1" ht="13.2">
      <c r="A128" s="381"/>
      <c r="B128" s="380"/>
      <c r="C128" s="381"/>
      <c r="D128" s="382"/>
      <c r="E128" s="381"/>
      <c r="F128" s="381"/>
      <c r="G128" s="381"/>
      <c r="J128" s="372"/>
      <c r="K128" s="355"/>
    </row>
    <row r="129" spans="1:11" s="356" customFormat="1" ht="13.2">
      <c r="A129" s="381"/>
      <c r="B129" s="380"/>
      <c r="C129" s="381"/>
      <c r="D129" s="381"/>
      <c r="E129" s="381"/>
      <c r="F129" s="381"/>
      <c r="G129" s="381"/>
      <c r="J129" s="372"/>
      <c r="K129" s="355"/>
    </row>
    <row r="130" spans="1:11" s="356" customFormat="1" ht="13.2">
      <c r="A130" s="381"/>
      <c r="B130" s="380"/>
      <c r="C130" s="381"/>
      <c r="D130" s="381"/>
      <c r="E130" s="381"/>
      <c r="F130" s="381"/>
      <c r="G130" s="381"/>
      <c r="J130" s="372"/>
      <c r="K130" s="355"/>
    </row>
    <row r="131" spans="1:11" s="356" customFormat="1" ht="13.2">
      <c r="A131" s="381"/>
      <c r="B131" s="383"/>
      <c r="C131" s="381"/>
      <c r="D131" s="381"/>
      <c r="E131" s="381"/>
      <c r="F131" s="381"/>
      <c r="G131" s="381"/>
      <c r="J131" s="372"/>
      <c r="K131" s="355"/>
    </row>
    <row r="132" spans="1:11" s="356" customFormat="1" ht="13.2">
      <c r="A132" s="384"/>
      <c r="B132" s="385"/>
      <c r="C132" s="381"/>
      <c r="D132" s="386"/>
      <c r="E132" s="381"/>
      <c r="F132" s="381"/>
      <c r="G132" s="381"/>
      <c r="J132" s="372"/>
      <c r="K132" s="355"/>
    </row>
    <row r="133" spans="1:11" s="356" customFormat="1" ht="13.2">
      <c r="A133" s="387"/>
      <c r="B133" s="381"/>
      <c r="C133" s="381"/>
      <c r="D133" s="381"/>
      <c r="E133" s="381"/>
      <c r="F133" s="381"/>
      <c r="G133" s="381"/>
      <c r="J133" s="372"/>
      <c r="K133" s="355"/>
    </row>
    <row r="134" spans="1:11" s="356" customFormat="1" ht="13.2">
      <c r="A134" s="387"/>
      <c r="B134" s="381"/>
      <c r="C134" s="381"/>
      <c r="D134" s="381"/>
      <c r="E134" s="381"/>
      <c r="F134" s="381"/>
      <c r="G134" s="381"/>
      <c r="J134" s="372"/>
      <c r="K134" s="355"/>
    </row>
    <row r="135" spans="1:11" s="356" customFormat="1" ht="13.2">
      <c r="A135" s="388"/>
      <c r="B135" s="381"/>
      <c r="C135" s="381"/>
      <c r="D135" s="381"/>
      <c r="E135" s="381"/>
      <c r="F135" s="381"/>
      <c r="G135" s="381"/>
      <c r="J135" s="372"/>
      <c r="K135" s="355"/>
    </row>
    <row r="136" spans="1:11" s="356" customFormat="1" ht="13.2">
      <c r="A136" s="373"/>
      <c r="B136" s="381"/>
      <c r="C136" s="381"/>
      <c r="D136" s="381"/>
      <c r="E136" s="381"/>
      <c r="F136" s="381"/>
      <c r="G136" s="381"/>
      <c r="J136" s="372"/>
      <c r="K136" s="355"/>
    </row>
    <row r="137" spans="1:11" ht="13.2">
      <c r="A137" s="387"/>
      <c r="B137" s="381"/>
      <c r="C137" s="381"/>
      <c r="D137" s="381"/>
      <c r="E137" s="381"/>
      <c r="F137" s="381"/>
      <c r="G137" s="381"/>
    </row>
    <row r="138" spans="1:11" ht="12" customHeight="1">
      <c r="A138" s="387"/>
      <c r="B138" s="381"/>
      <c r="C138" s="381"/>
      <c r="D138" s="381"/>
      <c r="E138" s="381"/>
      <c r="F138" s="381"/>
      <c r="G138" s="381"/>
    </row>
    <row r="139" spans="1:11" ht="12" customHeight="1">
      <c r="A139" s="1958"/>
      <c r="B139" s="1374"/>
      <c r="C139" s="1374"/>
      <c r="D139" s="352"/>
      <c r="E139" s="381"/>
      <c r="F139" s="381"/>
      <c r="G139" s="381"/>
    </row>
    <row r="140" spans="1:11" ht="12" customHeight="1">
      <c r="A140" s="1394"/>
      <c r="B140" s="1394"/>
      <c r="C140" s="1394"/>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4" workbookViewId="0">
      <selection activeCell="AP4" sqref="AP4:AU4"/>
    </sheetView>
  </sheetViews>
  <sheetFormatPr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546875" style="1198" customWidth="1"/>
    <col min="53" max="53" width="2.6640625" style="1198"/>
    <col min="54" max="54" width="4.44140625" style="1198" customWidth="1"/>
    <col min="55" max="64" width="2.664062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09375" style="1199" customWidth="1"/>
    <col min="72" max="76" width="5.5546875" style="1199" customWidth="1"/>
    <col min="77" max="77" width="6.109375" style="1199" bestFit="1" customWidth="1"/>
    <col min="78" max="78" width="5.5546875" style="1198" bestFit="1" customWidth="1"/>
    <col min="79" max="16384" width="2.6640625" style="1198"/>
  </cols>
  <sheetData>
    <row r="1" spans="1:65" ht="15.75" customHeight="1">
      <c r="A1" s="1970" t="s">
        <v>2381</v>
      </c>
      <c r="B1" s="1971"/>
      <c r="C1" s="1971"/>
      <c r="D1" s="1971"/>
      <c r="E1" s="1971"/>
      <c r="F1" s="1971"/>
      <c r="G1" s="1971"/>
      <c r="H1" s="1971"/>
      <c r="I1" s="1971"/>
      <c r="J1" s="1971"/>
      <c r="K1" s="1971"/>
      <c r="L1" s="1971"/>
      <c r="M1" s="1971"/>
      <c r="N1" s="1971"/>
      <c r="O1" s="1971"/>
      <c r="P1" s="1971"/>
      <c r="Q1" s="1971"/>
      <c r="R1" s="1971"/>
      <c r="S1" s="1971"/>
      <c r="T1" s="1971"/>
      <c r="U1" s="1971"/>
      <c r="V1" s="1971"/>
      <c r="W1" s="1971"/>
      <c r="X1" s="1971"/>
      <c r="Y1" s="1971"/>
      <c r="Z1" s="1971"/>
      <c r="AA1" s="1971"/>
      <c r="AB1" s="1971"/>
      <c r="AC1" s="1971"/>
      <c r="AD1" s="1971"/>
      <c r="AE1" s="1971"/>
      <c r="AF1" s="1971"/>
      <c r="AG1" s="1971"/>
      <c r="AH1" s="1971"/>
      <c r="AI1" s="1971"/>
      <c r="AJ1" s="1971"/>
      <c r="AK1" s="1971"/>
      <c r="AL1" s="1971"/>
      <c r="AM1" s="1971"/>
      <c r="AN1" s="1971"/>
      <c r="AO1" s="1971"/>
      <c r="AP1" s="1971"/>
      <c r="AQ1" s="1971"/>
      <c r="AR1" s="1971"/>
      <c r="AS1" s="1971"/>
      <c r="AT1" s="1971"/>
      <c r="AU1" s="1971"/>
      <c r="AV1" s="1971"/>
      <c r="AW1" s="1971"/>
      <c r="AX1" s="1971"/>
      <c r="AY1" s="1971"/>
      <c r="AZ1" s="1971"/>
      <c r="BA1" s="1971"/>
      <c r="BB1" s="1971"/>
      <c r="BC1" s="1971"/>
      <c r="BD1" s="1971"/>
      <c r="BE1" s="1972"/>
    </row>
    <row r="2" spans="1:65" ht="15.75" customHeight="1">
      <c r="A2" s="1973" t="s">
        <v>2380</v>
      </c>
      <c r="B2" s="1974"/>
      <c r="C2" s="1974"/>
      <c r="D2" s="1974"/>
      <c r="E2" s="1974"/>
      <c r="F2" s="1974"/>
      <c r="G2" s="1974"/>
      <c r="H2" s="1974"/>
      <c r="I2" s="1974"/>
      <c r="J2" s="1974"/>
      <c r="K2" s="1974"/>
      <c r="L2" s="1974"/>
      <c r="M2" s="1974"/>
      <c r="N2" s="1974"/>
      <c r="O2" s="1974"/>
      <c r="P2" s="1974"/>
      <c r="Q2" s="1974"/>
      <c r="R2" s="1974"/>
      <c r="S2" s="1974"/>
      <c r="T2" s="1974"/>
      <c r="U2" s="1974"/>
      <c r="V2" s="1974"/>
      <c r="W2" s="1974"/>
      <c r="X2" s="1974"/>
      <c r="Y2" s="1974"/>
      <c r="Z2" s="1974"/>
      <c r="AA2" s="1974"/>
      <c r="AB2" s="1974"/>
      <c r="AC2" s="1974"/>
      <c r="AD2" s="1974"/>
      <c r="AE2" s="1974"/>
      <c r="AF2" s="1974"/>
      <c r="AG2" s="1974"/>
      <c r="AH2" s="1974"/>
      <c r="AI2" s="1974"/>
      <c r="AJ2" s="1974"/>
      <c r="AK2" s="1974"/>
      <c r="AL2" s="1974"/>
      <c r="AM2" s="1974"/>
      <c r="AN2" s="1974"/>
      <c r="AO2" s="1974"/>
      <c r="AP2" s="1974"/>
      <c r="AQ2" s="1974"/>
      <c r="AR2" s="1974"/>
      <c r="AS2" s="1974"/>
      <c r="AT2" s="1974"/>
      <c r="AU2" s="1974"/>
      <c r="AV2" s="1974"/>
      <c r="AW2" s="1974"/>
      <c r="AX2" s="1974"/>
      <c r="AY2" s="1974"/>
      <c r="AZ2" s="1974"/>
      <c r="BA2" s="1974"/>
      <c r="BB2" s="1974"/>
      <c r="BC2" s="1974"/>
      <c r="BD2" s="1974"/>
      <c r="BE2" s="1975"/>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76" t="s">
        <v>2581</v>
      </c>
      <c r="AY3" s="1977"/>
      <c r="AZ3" s="1977"/>
      <c r="BA3" s="1978"/>
      <c r="BB3" s="1976" t="s">
        <v>2582</v>
      </c>
      <c r="BC3" s="1977"/>
      <c r="BD3" s="1977"/>
      <c r="BE3" s="1978"/>
    </row>
    <row r="4" spans="1:65" ht="15.75" customHeight="1" thickBot="1">
      <c r="A4" s="1201"/>
      <c r="B4" s="1203" t="s">
        <v>654</v>
      </c>
      <c r="C4" s="1203"/>
      <c r="D4" s="1203"/>
      <c r="E4" s="1203"/>
      <c r="F4" s="1203"/>
      <c r="G4" s="1202"/>
      <c r="H4" s="1202"/>
      <c r="I4" s="1202"/>
      <c r="J4" s="1202"/>
      <c r="K4" s="1202"/>
      <c r="L4" s="1965" t="str">
        <f>IF(Application!H18="","",Application!H18)</f>
        <v>8955 Monterey Apartments</v>
      </c>
      <c r="M4" s="1966"/>
      <c r="N4" s="1966"/>
      <c r="O4" s="1966"/>
      <c r="P4" s="1966"/>
      <c r="Q4" s="1966"/>
      <c r="R4" s="1966"/>
      <c r="S4" s="1966"/>
      <c r="T4" s="1966"/>
      <c r="U4" s="1966"/>
      <c r="V4" s="1966"/>
      <c r="W4" s="1966"/>
      <c r="X4" s="1966"/>
      <c r="Y4" s="1966"/>
      <c r="Z4" s="1966"/>
      <c r="AA4" s="1966"/>
      <c r="AB4" s="1966"/>
      <c r="AC4" s="1967"/>
      <c r="AD4" s="1202"/>
      <c r="AE4" s="1202"/>
      <c r="AF4" s="1979" t="s">
        <v>2379</v>
      </c>
      <c r="AG4" s="1979"/>
      <c r="AH4" s="1979"/>
      <c r="AI4" s="1979"/>
      <c r="AJ4" s="1979"/>
      <c r="AK4" s="1979"/>
      <c r="AL4" s="1979"/>
      <c r="AM4" s="1979"/>
      <c r="AN4" s="1979"/>
      <c r="AO4" s="1979"/>
      <c r="AP4" s="1980"/>
      <c r="AQ4" s="1981"/>
      <c r="AR4" s="1981"/>
      <c r="AS4" s="1981"/>
      <c r="AT4" s="1981"/>
      <c r="AU4" s="1981"/>
      <c r="AV4" s="1202"/>
      <c r="AW4" s="1202"/>
      <c r="AX4" s="1962" t="s">
        <v>2583</v>
      </c>
      <c r="AY4" s="1963"/>
      <c r="AZ4" s="1963"/>
      <c r="BA4" s="1964"/>
      <c r="BB4" s="1204">
        <f t="array" ref="BB4">ROUNDDOWN(SUM(IF((B19:I27&gt;0)*(B19:I27&lt;=30%),J19:O27,0))/J29,2)</f>
        <v>0.11</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79" t="s">
        <v>2378</v>
      </c>
      <c r="AG5" s="1979"/>
      <c r="AH5" s="1979"/>
      <c r="AI5" s="1979"/>
      <c r="AJ5" s="1979"/>
      <c r="AK5" s="1979"/>
      <c r="AL5" s="1979"/>
      <c r="AM5" s="1979"/>
      <c r="AN5" s="1979"/>
      <c r="AO5" s="1979"/>
      <c r="AP5" s="1980"/>
      <c r="AQ5" s="1981"/>
      <c r="AR5" s="1981"/>
      <c r="AS5" s="1981"/>
      <c r="AT5" s="1981"/>
      <c r="AU5" s="1981"/>
      <c r="AV5" s="1202"/>
      <c r="AW5" s="1202"/>
      <c r="AX5" s="1962" t="s">
        <v>2584</v>
      </c>
      <c r="AY5" s="1963"/>
      <c r="AZ5" s="1963"/>
      <c r="BA5" s="1964"/>
      <c r="BB5" s="1204">
        <f t="array" ref="BB5">ROUNDDOWN(SUM(IF((B19:I27&gt;0%)*(B19:I27&lt;=50%),J19:O27,0))/J29,2)</f>
        <v>0.23</v>
      </c>
      <c r="BC5" s="1205"/>
      <c r="BD5" s="1205"/>
      <c r="BE5" s="1206"/>
    </row>
    <row r="6" spans="1:65" ht="15.75" customHeight="1" thickBot="1">
      <c r="A6" s="1201"/>
      <c r="B6" s="1203" t="s">
        <v>2377</v>
      </c>
      <c r="C6" s="1202"/>
      <c r="D6" s="1202"/>
      <c r="E6" s="1202"/>
      <c r="F6" s="1202"/>
      <c r="G6" s="1202"/>
      <c r="H6" s="1202"/>
      <c r="I6" s="1202"/>
      <c r="J6" s="1202"/>
      <c r="K6" s="1202"/>
      <c r="L6" s="1965" t="str">
        <f>IF(Application!H16="","",Application!H16)</f>
        <v>CRP Monterey LP</v>
      </c>
      <c r="M6" s="1966"/>
      <c r="N6" s="1966"/>
      <c r="O6" s="1966"/>
      <c r="P6" s="1966"/>
      <c r="Q6" s="1966"/>
      <c r="R6" s="1966"/>
      <c r="S6" s="1966"/>
      <c r="T6" s="1966"/>
      <c r="U6" s="1966"/>
      <c r="V6" s="1966"/>
      <c r="W6" s="1966"/>
      <c r="X6" s="1966"/>
      <c r="Y6" s="1966"/>
      <c r="Z6" s="1966"/>
      <c r="AA6" s="1966"/>
      <c r="AB6" s="1966"/>
      <c r="AC6" s="1967"/>
      <c r="AD6" s="1202"/>
      <c r="AE6" s="1202"/>
      <c r="AF6" s="1968" t="s">
        <v>2376</v>
      </c>
      <c r="AG6" s="1968"/>
      <c r="AH6" s="1968"/>
      <c r="AI6" s="1968"/>
      <c r="AJ6" s="1968"/>
      <c r="AK6" s="1968"/>
      <c r="AL6" s="1968"/>
      <c r="AM6" s="1968"/>
      <c r="AN6" s="1968"/>
      <c r="AO6" s="1968"/>
      <c r="AP6" s="1969"/>
      <c r="AQ6" s="1969"/>
      <c r="AR6" s="1969"/>
      <c r="AS6" s="1969"/>
      <c r="AT6" s="1969"/>
      <c r="AU6" s="1969"/>
      <c r="AV6" s="1202"/>
      <c r="AW6" s="1202"/>
      <c r="AX6" s="1962" t="s">
        <v>2585</v>
      </c>
      <c r="AY6" s="1963"/>
      <c r="AZ6" s="1963"/>
      <c r="BA6" s="1964"/>
      <c r="BB6" s="1204">
        <f t="array" ref="BB6">ROUNDDOWN(SUM(IF((B19:I27&gt;60%)*(B19:I27&lt;=80%),J19:O27,0))/J29,2)</f>
        <v>0.22</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68" t="s">
        <v>2375</v>
      </c>
      <c r="AG7" s="1968"/>
      <c r="AH7" s="1968"/>
      <c r="AI7" s="1968"/>
      <c r="AJ7" s="1968"/>
      <c r="AK7" s="1968"/>
      <c r="AL7" s="1968"/>
      <c r="AM7" s="1968"/>
      <c r="AN7" s="1968"/>
      <c r="AO7" s="1968"/>
      <c r="AP7" s="1969"/>
      <c r="AQ7" s="1969"/>
      <c r="AR7" s="1969"/>
      <c r="AS7" s="1969"/>
      <c r="AT7" s="1969"/>
      <c r="AU7" s="1969"/>
      <c r="AV7" s="1202"/>
      <c r="AW7" s="1202"/>
      <c r="AX7" s="1202"/>
      <c r="AY7" s="1202"/>
      <c r="AZ7" s="1202"/>
      <c r="BA7" s="1202"/>
      <c r="BB7" s="1202"/>
      <c r="BC7" s="1202"/>
      <c r="BD7" s="1202"/>
      <c r="BE7" s="1207"/>
    </row>
    <row r="8" spans="1:65" ht="15" thickBot="1">
      <c r="A8" s="1201"/>
      <c r="B8" s="1203" t="s">
        <v>2622</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82" t="str">
        <f>Application!T197</f>
        <v>No</v>
      </c>
      <c r="AC8" s="1983"/>
      <c r="AD8" s="1984"/>
      <c r="AE8" s="1202"/>
      <c r="AF8" s="1968" t="s">
        <v>2374</v>
      </c>
      <c r="AG8" s="1968"/>
      <c r="AH8" s="1968"/>
      <c r="AI8" s="1968"/>
      <c r="AJ8" s="1968"/>
      <c r="AK8" s="1968"/>
      <c r="AL8" s="1968"/>
      <c r="AM8" s="1968"/>
      <c r="AN8" s="1968"/>
      <c r="AO8" s="1968"/>
      <c r="AP8" s="1969" t="s">
        <v>2046</v>
      </c>
      <c r="AQ8" s="1969"/>
      <c r="AR8" s="1969"/>
      <c r="AS8" s="1969"/>
      <c r="AT8" s="1969"/>
      <c r="AU8" s="1969"/>
      <c r="AV8" s="1202"/>
      <c r="AW8" s="1202"/>
      <c r="AX8" s="1202"/>
      <c r="AY8" s="1202"/>
      <c r="AZ8" s="1202"/>
      <c r="BA8" s="1202"/>
      <c r="BB8" s="1202"/>
      <c r="BC8" s="1202"/>
      <c r="BD8" s="1202"/>
      <c r="BE8" s="1207"/>
      <c r="BM8" s="1198" t="s">
        <v>1949</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79" t="s">
        <v>2373</v>
      </c>
      <c r="AG9" s="1979"/>
      <c r="AH9" s="1979"/>
      <c r="AI9" s="1979"/>
      <c r="AJ9" s="1979"/>
      <c r="AK9" s="1979"/>
      <c r="AL9" s="1979"/>
      <c r="AM9" s="1979"/>
      <c r="AN9" s="1979"/>
      <c r="AO9" s="1979"/>
      <c r="AP9" s="1980"/>
      <c r="AQ9" s="1981"/>
      <c r="AR9" s="1981"/>
      <c r="AS9" s="1981"/>
      <c r="AT9" s="1981"/>
      <c r="AU9" s="1981"/>
      <c r="AV9" s="1202"/>
      <c r="AW9" s="1202"/>
      <c r="AX9" s="1202"/>
      <c r="AY9" s="1202"/>
      <c r="AZ9" s="1202"/>
      <c r="BA9" s="1202"/>
      <c r="BB9" s="1202"/>
      <c r="BC9" s="1202"/>
      <c r="BD9" s="1202"/>
      <c r="BE9" s="1207"/>
      <c r="BM9" s="1198" t="s">
        <v>2372</v>
      </c>
    </row>
    <row r="10" spans="1:65" ht="14.4">
      <c r="A10" s="1201"/>
      <c r="B10" s="1203" t="s">
        <v>2371</v>
      </c>
      <c r="C10" s="1203"/>
      <c r="D10" s="1203"/>
      <c r="E10" s="1203"/>
      <c r="F10" s="1203"/>
      <c r="G10" s="1203"/>
      <c r="H10" s="1203"/>
      <c r="I10" s="1203"/>
      <c r="J10" s="1203"/>
      <c r="K10" s="1203"/>
      <c r="L10" s="1203"/>
      <c r="M10" s="1202"/>
      <c r="N10" s="1997">
        <f>Application!AO635</f>
        <v>21128698</v>
      </c>
      <c r="O10" s="1997"/>
      <c r="P10" s="1997"/>
      <c r="Q10" s="1997"/>
      <c r="R10" s="1997"/>
      <c r="S10" s="1997"/>
      <c r="T10" s="1997"/>
      <c r="U10" s="1202"/>
      <c r="V10" s="1202"/>
      <c r="W10" s="1202"/>
      <c r="X10" s="1208"/>
      <c r="Y10" s="1208"/>
      <c r="Z10" s="1208"/>
      <c r="AA10" s="1208"/>
      <c r="AB10" s="1208"/>
      <c r="AC10" s="1208"/>
      <c r="AD10" s="1208"/>
      <c r="AE10" s="1208"/>
      <c r="AF10" s="1979" t="s">
        <v>2370</v>
      </c>
      <c r="AG10" s="1979"/>
      <c r="AH10" s="1979"/>
      <c r="AI10" s="1979"/>
      <c r="AJ10" s="1979"/>
      <c r="AK10" s="1979"/>
      <c r="AL10" s="1979"/>
      <c r="AM10" s="1979"/>
      <c r="AN10" s="1979"/>
      <c r="AO10" s="1979"/>
      <c r="AP10" s="1980"/>
      <c r="AQ10" s="1981"/>
      <c r="AR10" s="1981"/>
      <c r="AS10" s="1981"/>
      <c r="AT10" s="1981"/>
      <c r="AU10" s="1981"/>
      <c r="AV10" s="1208"/>
      <c r="AW10" s="1208"/>
      <c r="AX10" s="1202"/>
      <c r="AY10" s="1202"/>
      <c r="AZ10" s="1202"/>
      <c r="BA10" s="1202"/>
      <c r="BB10" s="1202"/>
      <c r="BC10" s="1202"/>
      <c r="BD10" s="1202"/>
      <c r="BE10" s="1207"/>
      <c r="BM10" s="1198" t="s">
        <v>2369</v>
      </c>
    </row>
    <row r="11" spans="1:65" ht="14.4">
      <c r="A11" s="1201"/>
      <c r="B11" s="1203" t="s">
        <v>2368</v>
      </c>
      <c r="C11" s="1203"/>
      <c r="D11" s="1203"/>
      <c r="E11" s="1203"/>
      <c r="F11" s="1203"/>
      <c r="G11" s="1203"/>
      <c r="H11" s="1203"/>
      <c r="I11" s="1203"/>
      <c r="J11" s="1203"/>
      <c r="K11" s="1203"/>
      <c r="L11" s="1203"/>
      <c r="M11" s="1202"/>
      <c r="N11" s="1997">
        <f>Application!AA943</f>
        <v>0</v>
      </c>
      <c r="O11" s="1997"/>
      <c r="P11" s="1997"/>
      <c r="Q11" s="1997"/>
      <c r="R11" s="1997"/>
      <c r="S11" s="1997"/>
      <c r="T11" s="1997"/>
      <c r="U11" s="1202"/>
      <c r="V11" s="1202"/>
      <c r="W11" s="1202"/>
      <c r="X11" s="1208"/>
      <c r="Y11" s="1208"/>
      <c r="Z11" s="1208"/>
      <c r="AA11" s="1208"/>
      <c r="AB11" s="1208"/>
      <c r="AC11" s="1208"/>
      <c r="AD11" s="1208"/>
      <c r="AE11" s="1208"/>
      <c r="AF11" s="1979" t="s">
        <v>2367</v>
      </c>
      <c r="AG11" s="1979"/>
      <c r="AH11" s="1979"/>
      <c r="AI11" s="1979"/>
      <c r="AJ11" s="1979"/>
      <c r="AK11" s="1979"/>
      <c r="AL11" s="1979"/>
      <c r="AM11" s="1979"/>
      <c r="AN11" s="1979"/>
      <c r="AO11" s="1979"/>
      <c r="AP11" s="1980"/>
      <c r="AQ11" s="1981"/>
      <c r="AR11" s="1981"/>
      <c r="AS11" s="1981"/>
      <c r="AT11" s="1981"/>
      <c r="AU11" s="1981"/>
      <c r="AV11" s="1208"/>
      <c r="AW11" s="1208"/>
      <c r="AX11" s="1202"/>
      <c r="AY11" s="1202"/>
      <c r="AZ11" s="1202"/>
      <c r="BA11" s="1202"/>
      <c r="BB11" s="1202"/>
      <c r="BC11" s="1202"/>
      <c r="BD11" s="1202"/>
      <c r="BE11" s="1207"/>
      <c r="BM11" s="1198" t="s">
        <v>2046</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ht="15" thickBot="1">
      <c r="A13" s="1202"/>
      <c r="B13" s="1985" t="s">
        <v>2365</v>
      </c>
      <c r="C13" s="1986"/>
      <c r="D13" s="1986"/>
      <c r="E13" s="1986"/>
      <c r="F13" s="1986"/>
      <c r="G13" s="1986"/>
      <c r="H13" s="1986"/>
      <c r="I13" s="1986"/>
      <c r="J13" s="1986"/>
      <c r="K13" s="1986"/>
      <c r="L13" s="1986"/>
      <c r="M13" s="1986"/>
      <c r="N13" s="1986"/>
      <c r="O13" s="1986"/>
      <c r="P13" s="1987"/>
      <c r="Q13" s="1988" t="s">
        <v>667</v>
      </c>
      <c r="R13" s="1989"/>
      <c r="S13" s="1989"/>
      <c r="T13" s="1990"/>
      <c r="U13" s="1208"/>
      <c r="V13" s="1202"/>
      <c r="W13" s="1202"/>
      <c r="X13" s="1202"/>
      <c r="Y13" s="1202"/>
      <c r="Z13" s="1202"/>
      <c r="AA13" s="1991" t="s">
        <v>2364</v>
      </c>
      <c r="AB13" s="1991"/>
      <c r="AC13" s="1991"/>
      <c r="AD13" s="1991"/>
      <c r="AE13" s="1991"/>
      <c r="AF13" s="1991"/>
      <c r="AG13" s="1991"/>
      <c r="AH13" s="1991"/>
      <c r="AI13" s="1991"/>
      <c r="AJ13" s="1991"/>
      <c r="AK13" s="1991"/>
      <c r="AL13" s="1991"/>
      <c r="AM13" s="1991"/>
      <c r="AN13" s="1991"/>
      <c r="AO13" s="1992">
        <f>Application!W481</f>
        <v>17</v>
      </c>
      <c r="AP13" s="1993"/>
      <c r="AQ13" s="1993"/>
      <c r="AR13" s="1993"/>
      <c r="AS13" s="1993"/>
      <c r="AT13" s="1208"/>
      <c r="AU13" s="1208"/>
      <c r="AV13" s="1208"/>
      <c r="AW13" s="1208"/>
      <c r="AX13" s="1208"/>
      <c r="AY13" s="1208"/>
      <c r="AZ13" s="1208"/>
      <c r="BA13" s="1208"/>
      <c r="BB13" s="1208"/>
      <c r="BC13" s="1208"/>
      <c r="BD13" s="1208"/>
      <c r="BE13" s="1209"/>
      <c r="BM13" s="1198" t="s">
        <v>2363</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94" t="s">
        <v>2362</v>
      </c>
      <c r="AB14" s="1994"/>
      <c r="AC14" s="1994"/>
      <c r="AD14" s="1994"/>
      <c r="AE14" s="1994"/>
      <c r="AF14" s="1994"/>
      <c r="AG14" s="1994"/>
      <c r="AH14" s="1994"/>
      <c r="AI14" s="1994"/>
      <c r="AJ14" s="1994"/>
      <c r="AK14" s="1994"/>
      <c r="AL14" s="1994"/>
      <c r="AM14" s="1994"/>
      <c r="AN14" s="1994"/>
      <c r="AO14" s="1995"/>
      <c r="AP14" s="1996"/>
      <c r="AQ14" s="1996"/>
      <c r="AR14" s="1996"/>
      <c r="AS14" s="1996"/>
      <c r="AT14" s="1208"/>
      <c r="AU14" s="1208"/>
      <c r="AV14" s="1208"/>
      <c r="AW14" s="1208"/>
      <c r="AX14" s="1208"/>
      <c r="AY14" s="1208"/>
      <c r="AZ14" s="1208"/>
      <c r="BA14" s="1208"/>
      <c r="BB14" s="1208"/>
      <c r="BC14" s="1208"/>
      <c r="BD14" s="1208"/>
      <c r="BE14" s="1209"/>
    </row>
    <row r="15" spans="1:65" ht="15" thickBot="1">
      <c r="A15" s="1202"/>
      <c r="B15" s="1998" t="s">
        <v>2361</v>
      </c>
      <c r="C15" s="1999"/>
      <c r="D15" s="1999"/>
      <c r="E15" s="1999"/>
      <c r="F15" s="1999"/>
      <c r="G15" s="1999"/>
      <c r="H15" s="1999"/>
      <c r="I15" s="1999"/>
      <c r="J15" s="1999"/>
      <c r="K15" s="1999"/>
      <c r="L15" s="1999"/>
      <c r="M15" s="1999"/>
      <c r="N15" s="1999"/>
      <c r="O15" s="1999"/>
      <c r="P15" s="1999"/>
      <c r="Q15" s="1999"/>
      <c r="R15" s="2000"/>
      <c r="S15" s="2001" t="str">
        <f>IF(Application!AB215="","",Application!AB215)</f>
        <v/>
      </c>
      <c r="T15" s="2001"/>
      <c r="U15" s="2001"/>
      <c r="V15" s="2001"/>
      <c r="W15" s="2002"/>
      <c r="X15" s="1208"/>
      <c r="Y15" s="1202"/>
      <c r="Z15" s="1202"/>
      <c r="AA15" s="1991" t="s">
        <v>2360</v>
      </c>
      <c r="AB15" s="1991"/>
      <c r="AC15" s="1991"/>
      <c r="AD15" s="1991"/>
      <c r="AE15" s="1991"/>
      <c r="AF15" s="1991"/>
      <c r="AG15" s="1991"/>
      <c r="AH15" s="1991"/>
      <c r="AI15" s="1991"/>
      <c r="AJ15" s="1991"/>
      <c r="AK15" s="1991"/>
      <c r="AL15" s="1991"/>
      <c r="AM15" s="1991"/>
      <c r="AN15" s="1991"/>
      <c r="AO15" s="1995"/>
      <c r="AP15" s="1996"/>
      <c r="AQ15" s="1996"/>
      <c r="AR15" s="1996"/>
      <c r="AS15" s="1996"/>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2003" t="s">
        <v>2359</v>
      </c>
      <c r="C17" s="2004"/>
      <c r="D17" s="2004"/>
      <c r="E17" s="2004"/>
      <c r="F17" s="2004"/>
      <c r="G17" s="2004"/>
      <c r="H17" s="2004"/>
      <c r="I17" s="2004"/>
      <c r="J17" s="2004"/>
      <c r="K17" s="2004"/>
      <c r="L17" s="2004"/>
      <c r="M17" s="2004"/>
      <c r="N17" s="2004"/>
      <c r="O17" s="2004"/>
      <c r="P17" s="2004"/>
      <c r="Q17" s="2004"/>
      <c r="R17" s="2004"/>
      <c r="S17" s="2004"/>
      <c r="T17" s="2004"/>
      <c r="U17" s="2004"/>
      <c r="V17" s="2004"/>
      <c r="W17" s="2004"/>
      <c r="X17" s="2004"/>
      <c r="Y17" s="2004"/>
      <c r="Z17" s="2004"/>
      <c r="AA17" s="2004"/>
      <c r="AB17" s="2004"/>
      <c r="AC17" s="2004"/>
      <c r="AD17" s="2004"/>
      <c r="AE17" s="2004"/>
      <c r="AF17" s="2004"/>
      <c r="AG17" s="2004"/>
      <c r="AH17" s="2004"/>
      <c r="AI17" s="2004"/>
      <c r="AJ17" s="2004"/>
      <c r="AK17" s="2004"/>
      <c r="AL17" s="2004"/>
      <c r="AM17" s="2004"/>
      <c r="AN17" s="2004"/>
      <c r="AO17" s="2004"/>
      <c r="AP17" s="2004"/>
      <c r="AQ17" s="2004"/>
      <c r="AR17" s="2004"/>
      <c r="AS17" s="2004"/>
      <c r="AT17" s="2004"/>
      <c r="AU17" s="2004"/>
      <c r="AV17" s="2004"/>
      <c r="AW17" s="2004"/>
      <c r="AX17" s="2004"/>
      <c r="AY17" s="2005"/>
      <c r="AZ17" s="1202"/>
      <c r="BA17" s="1202"/>
      <c r="BB17" s="1202"/>
      <c r="BC17" s="1202"/>
      <c r="BD17" s="1202"/>
      <c r="BE17" s="1209"/>
      <c r="BF17" s="1200"/>
    </row>
    <row r="18" spans="1:58" ht="15.75" customHeight="1">
      <c r="A18" s="1202"/>
      <c r="B18" s="2006" t="s">
        <v>2358</v>
      </c>
      <c r="C18" s="2007"/>
      <c r="D18" s="2007"/>
      <c r="E18" s="2007"/>
      <c r="F18" s="2007"/>
      <c r="G18" s="2007"/>
      <c r="H18" s="2007"/>
      <c r="I18" s="2008"/>
      <c r="J18" s="2009" t="s">
        <v>1572</v>
      </c>
      <c r="K18" s="2010"/>
      <c r="L18" s="2010"/>
      <c r="M18" s="2010"/>
      <c r="N18" s="2010"/>
      <c r="O18" s="2011"/>
      <c r="P18" s="2009" t="s">
        <v>324</v>
      </c>
      <c r="Q18" s="2010"/>
      <c r="R18" s="2010"/>
      <c r="S18" s="2010"/>
      <c r="T18" s="2010"/>
      <c r="U18" s="2011"/>
      <c r="V18" s="2009" t="s">
        <v>325</v>
      </c>
      <c r="W18" s="2010"/>
      <c r="X18" s="2010"/>
      <c r="Y18" s="2010"/>
      <c r="Z18" s="2010"/>
      <c r="AA18" s="2011"/>
      <c r="AB18" s="2009" t="s">
        <v>163</v>
      </c>
      <c r="AC18" s="2010"/>
      <c r="AD18" s="2010"/>
      <c r="AE18" s="2010"/>
      <c r="AF18" s="2010"/>
      <c r="AG18" s="2011"/>
      <c r="AH18" s="2009" t="s">
        <v>164</v>
      </c>
      <c r="AI18" s="2010"/>
      <c r="AJ18" s="2010"/>
      <c r="AK18" s="2010"/>
      <c r="AL18" s="2010"/>
      <c r="AM18" s="2011"/>
      <c r="AN18" s="2009" t="s">
        <v>165</v>
      </c>
      <c r="AO18" s="2010"/>
      <c r="AP18" s="2010"/>
      <c r="AQ18" s="2010"/>
      <c r="AR18" s="2010"/>
      <c r="AS18" s="2011"/>
      <c r="AT18" s="2009" t="s">
        <v>2357</v>
      </c>
      <c r="AU18" s="2010"/>
      <c r="AV18" s="2010"/>
      <c r="AW18" s="2010"/>
      <c r="AX18" s="2010"/>
      <c r="AY18" s="2012"/>
      <c r="AZ18" s="1202"/>
      <c r="BA18" s="1202"/>
      <c r="BB18" s="1202"/>
      <c r="BC18" s="1202"/>
      <c r="BD18" s="1202"/>
      <c r="BE18" s="1209"/>
    </row>
    <row r="19" spans="1:58" ht="14.4">
      <c r="A19" s="1202"/>
      <c r="B19" s="2013">
        <v>0.3</v>
      </c>
      <c r="C19" s="2014"/>
      <c r="D19" s="2014"/>
      <c r="E19" s="2014"/>
      <c r="F19" s="2014"/>
      <c r="G19" s="2014"/>
      <c r="H19" s="2014"/>
      <c r="I19" s="2015"/>
      <c r="J19" s="2016">
        <f t="shared" ref="J19:J24" si="0">SUM(P19:AS19)</f>
        <v>13</v>
      </c>
      <c r="K19" s="2017"/>
      <c r="L19" s="2017"/>
      <c r="M19" s="2017"/>
      <c r="N19" s="2017"/>
      <c r="O19" s="2018"/>
      <c r="P19" s="2016" cm="1">
        <f t="array" ref="P19">SUMPRODUCT((Application!$B$726:$B$760 = 'CalHFA Addendum'!P$18)*(Application!$AC$726:$AC$760 = 'CalHFA Addendum'!$B19),Application!$G$726:$G$760)</f>
        <v>0</v>
      </c>
      <c r="Q19" s="2017"/>
      <c r="R19" s="2017"/>
      <c r="S19" s="2017"/>
      <c r="T19" s="2017"/>
      <c r="U19" s="2018"/>
      <c r="V19" s="2016" cm="1">
        <f t="array" ref="V19">SUMPRODUCT((Application!$B$726:$B$760 = 'CalHFA Addendum'!V$18)*(Application!$AC$726:$AC$760 = 'CalHFA Addendum'!$B19),Application!$G$726:$G$760)</f>
        <v>3</v>
      </c>
      <c r="W19" s="2017"/>
      <c r="X19" s="2017"/>
      <c r="Y19" s="2017"/>
      <c r="Z19" s="2017"/>
      <c r="AA19" s="2018"/>
      <c r="AB19" s="2016" cm="1">
        <f t="array" ref="AB19">SUMPRODUCT((Application!$B$726:$B$760 = 'CalHFA Addendum'!AB$18)*(Application!$AC$726:$AC$760 = 'CalHFA Addendum'!$B19),Application!$G$726:$G$760)</f>
        <v>4</v>
      </c>
      <c r="AC19" s="2017"/>
      <c r="AD19" s="2017"/>
      <c r="AE19" s="2017"/>
      <c r="AF19" s="2017"/>
      <c r="AG19" s="2018"/>
      <c r="AH19" s="2016" cm="1">
        <f t="array" ref="AH19">SUMPRODUCT((Application!$B$726:$B$760 = 'CalHFA Addendum'!AH$18)*(Application!$AC$726:$AC$760 = 'CalHFA Addendum'!$B19),Application!$G$726:$G$760)</f>
        <v>6</v>
      </c>
      <c r="AI19" s="2017"/>
      <c r="AJ19" s="2017"/>
      <c r="AK19" s="2017"/>
      <c r="AL19" s="2017"/>
      <c r="AM19" s="2018"/>
      <c r="AN19" s="2016" cm="1">
        <f t="array" ref="AN19">SUMPRODUCT((Application!$B$726:$B$760 = 'CalHFA Addendum'!AN$18)*(Application!$AC$726:$AC$760 = 'CalHFA Addendum'!$B19),Application!$G$726:$G$760)</f>
        <v>0</v>
      </c>
      <c r="AO19" s="2017"/>
      <c r="AP19" s="2017"/>
      <c r="AQ19" s="2017"/>
      <c r="AR19" s="2017"/>
      <c r="AS19" s="2018"/>
      <c r="AT19" s="2019">
        <f>J19/$J$29</f>
        <v>0.11504424778761062</v>
      </c>
      <c r="AU19" s="2020"/>
      <c r="AV19" s="2020"/>
      <c r="AW19" s="2020"/>
      <c r="AX19" s="2020"/>
      <c r="AY19" s="2021"/>
      <c r="AZ19" s="1210"/>
      <c r="BA19" s="1202"/>
      <c r="BB19" s="1202"/>
      <c r="BC19" s="1202"/>
      <c r="BD19" s="1202"/>
      <c r="BE19" s="1209"/>
    </row>
    <row r="20" spans="1:58" ht="15" customHeight="1">
      <c r="A20" s="1202"/>
      <c r="B20" s="2013">
        <v>0.4</v>
      </c>
      <c r="C20" s="2014"/>
      <c r="D20" s="2014"/>
      <c r="E20" s="2014"/>
      <c r="F20" s="2014"/>
      <c r="G20" s="2014"/>
      <c r="H20" s="2014"/>
      <c r="I20" s="2015"/>
      <c r="J20" s="2016">
        <f t="shared" si="0"/>
        <v>0</v>
      </c>
      <c r="K20" s="2017"/>
      <c r="L20" s="2017"/>
      <c r="M20" s="2017"/>
      <c r="N20" s="2017"/>
      <c r="O20" s="2018"/>
      <c r="P20" s="2016" cm="1">
        <f t="array" ref="P20">SUMPRODUCT((Application!$B$726:$B$760 = 'CalHFA Addendum'!P$18)*(Application!$AC$726:$AC$760 = 'CalHFA Addendum'!$B20),Application!$G$726:$G$760)</f>
        <v>0</v>
      </c>
      <c r="Q20" s="2017"/>
      <c r="R20" s="2017"/>
      <c r="S20" s="2017"/>
      <c r="T20" s="2017"/>
      <c r="U20" s="2018"/>
      <c r="V20" s="2016" cm="1">
        <f t="array" ref="V20">SUMPRODUCT((Application!$B$726:$B$760 = 'CalHFA Addendum'!V$18)*(Application!$AC$726:$AC$760 = 'CalHFA Addendum'!$B20),Application!$G$726:$G$760)</f>
        <v>0</v>
      </c>
      <c r="W20" s="2017"/>
      <c r="X20" s="2017"/>
      <c r="Y20" s="2017"/>
      <c r="Z20" s="2017"/>
      <c r="AA20" s="2018"/>
      <c r="AB20" s="2016" cm="1">
        <f t="array" ref="AB20">SUMPRODUCT((Application!$B$726:$B$760 = 'CalHFA Addendum'!AB$18)*(Application!$AC$726:$AC$760 = 'CalHFA Addendum'!$B20),Application!$G$726:$G$760)</f>
        <v>0</v>
      </c>
      <c r="AC20" s="2017"/>
      <c r="AD20" s="2017"/>
      <c r="AE20" s="2017"/>
      <c r="AF20" s="2017"/>
      <c r="AG20" s="2018"/>
      <c r="AH20" s="2016" cm="1">
        <f t="array" ref="AH20">SUMPRODUCT((Application!$B$726:$B$760 = 'CalHFA Addendum'!AH$18)*(Application!$AC$726:$AC$760 = 'CalHFA Addendum'!$B20),Application!$G$726:$G$760)</f>
        <v>0</v>
      </c>
      <c r="AI20" s="2017"/>
      <c r="AJ20" s="2017"/>
      <c r="AK20" s="2017"/>
      <c r="AL20" s="2017"/>
      <c r="AM20" s="2018"/>
      <c r="AN20" s="2016" cm="1">
        <f t="array" ref="AN20">SUMPRODUCT((Application!$B$726:$B$760 = 'CalHFA Addendum'!AN$18)*(Application!$AC$726:$AC$760 = 'CalHFA Addendum'!$B20),Application!$G$726:$G$760)</f>
        <v>0</v>
      </c>
      <c r="AO20" s="2017"/>
      <c r="AP20" s="2017"/>
      <c r="AQ20" s="2017"/>
      <c r="AR20" s="2017"/>
      <c r="AS20" s="2018"/>
      <c r="AT20" s="2019">
        <f t="shared" ref="AT20:AT29" si="1">J20/$J$29</f>
        <v>0</v>
      </c>
      <c r="AU20" s="2020"/>
      <c r="AV20" s="2020"/>
      <c r="AW20" s="2020"/>
      <c r="AX20" s="2020"/>
      <c r="AY20" s="2021"/>
      <c r="AZ20" s="1202"/>
      <c r="BA20" s="1202"/>
      <c r="BB20" s="1202"/>
      <c r="BC20" s="1202"/>
      <c r="BD20" s="1202"/>
      <c r="BE20" s="1209"/>
    </row>
    <row r="21" spans="1:58" ht="14.4">
      <c r="A21" s="1202"/>
      <c r="B21" s="2013">
        <v>0.5</v>
      </c>
      <c r="C21" s="2014"/>
      <c r="D21" s="2014"/>
      <c r="E21" s="2014"/>
      <c r="F21" s="2014"/>
      <c r="G21" s="2014"/>
      <c r="H21" s="2014"/>
      <c r="I21" s="2015"/>
      <c r="J21" s="2016">
        <f t="shared" si="0"/>
        <v>13</v>
      </c>
      <c r="K21" s="2017"/>
      <c r="L21" s="2017"/>
      <c r="M21" s="2017"/>
      <c r="N21" s="2017"/>
      <c r="O21" s="2018"/>
      <c r="P21" s="2016" cm="1">
        <f t="array" ref="P21">SUMPRODUCT((Application!$B$726:$B$760 = 'CalHFA Addendum'!P$18)*(Application!$AC$726:$AC$760 = 'CalHFA Addendum'!$B21),Application!$G$726:$G$760)</f>
        <v>0</v>
      </c>
      <c r="Q21" s="2017"/>
      <c r="R21" s="2017"/>
      <c r="S21" s="2017"/>
      <c r="T21" s="2017"/>
      <c r="U21" s="2018"/>
      <c r="V21" s="2016" cm="1">
        <f t="array" ref="V21">SUMPRODUCT((Application!$B$726:$B$760 = 'CalHFA Addendum'!V$18)*(Application!$AC$726:$AC$760 = 'CalHFA Addendum'!$B21),Application!$G$726:$G$760)</f>
        <v>3</v>
      </c>
      <c r="W21" s="2017"/>
      <c r="X21" s="2017"/>
      <c r="Y21" s="2017"/>
      <c r="Z21" s="2017"/>
      <c r="AA21" s="2018"/>
      <c r="AB21" s="2016" cm="1">
        <f t="array" ref="AB21">SUMPRODUCT((Application!$B$726:$B$760 = 'CalHFA Addendum'!AB$18)*(Application!$AC$726:$AC$760 = 'CalHFA Addendum'!$B21),Application!$G$726:$G$760)</f>
        <v>4</v>
      </c>
      <c r="AC21" s="2017"/>
      <c r="AD21" s="2017"/>
      <c r="AE21" s="2017"/>
      <c r="AF21" s="2017"/>
      <c r="AG21" s="2018"/>
      <c r="AH21" s="2016" cm="1">
        <f t="array" ref="AH21">SUMPRODUCT((Application!$B$726:$B$760 = 'CalHFA Addendum'!AH$18)*(Application!$AC$726:$AC$760 = 'CalHFA Addendum'!$B21),Application!$G$726:$G$760)</f>
        <v>6</v>
      </c>
      <c r="AI21" s="2017"/>
      <c r="AJ21" s="2017"/>
      <c r="AK21" s="2017"/>
      <c r="AL21" s="2017"/>
      <c r="AM21" s="2018"/>
      <c r="AN21" s="2016" cm="1">
        <f t="array" ref="AN21">SUMPRODUCT((Application!$B$726:$B$760 = 'CalHFA Addendum'!AN$18)*(Application!$AC$726:$AC$760 = 'CalHFA Addendum'!$B21),Application!$G$726:$G$760)</f>
        <v>0</v>
      </c>
      <c r="AO21" s="2017"/>
      <c r="AP21" s="2017"/>
      <c r="AQ21" s="2017"/>
      <c r="AR21" s="2017"/>
      <c r="AS21" s="2018"/>
      <c r="AT21" s="2019">
        <f t="shared" si="1"/>
        <v>0.11504424778761062</v>
      </c>
      <c r="AU21" s="2020"/>
      <c r="AV21" s="2020"/>
      <c r="AW21" s="2020"/>
      <c r="AX21" s="2020"/>
      <c r="AY21" s="2021"/>
      <c r="AZ21" s="1202"/>
      <c r="BA21" s="1202"/>
      <c r="BB21" s="1202"/>
      <c r="BC21" s="1202"/>
      <c r="BD21" s="1202"/>
      <c r="BE21" s="1209"/>
    </row>
    <row r="22" spans="1:58" ht="14.4">
      <c r="A22" s="1202"/>
      <c r="B22" s="2013">
        <v>0.6</v>
      </c>
      <c r="C22" s="2014"/>
      <c r="D22" s="2014"/>
      <c r="E22" s="2014"/>
      <c r="F22" s="2014"/>
      <c r="G22" s="2014"/>
      <c r="H22" s="2014"/>
      <c r="I22" s="2015"/>
      <c r="J22" s="2016">
        <f t="shared" si="0"/>
        <v>61</v>
      </c>
      <c r="K22" s="2017"/>
      <c r="L22" s="2017"/>
      <c r="M22" s="2017"/>
      <c r="N22" s="2017"/>
      <c r="O22" s="2018"/>
      <c r="P22" s="2016" cm="1">
        <f t="array" ref="P22">SUMPRODUCT((Application!$B$726:$B$760 = 'CalHFA Addendum'!P$18)*(Application!$AC$726:$AC$760 = 'CalHFA Addendum'!$B22),Application!$G$726:$G$760)</f>
        <v>0</v>
      </c>
      <c r="Q22" s="2017"/>
      <c r="R22" s="2017"/>
      <c r="S22" s="2017"/>
      <c r="T22" s="2017"/>
      <c r="U22" s="2018"/>
      <c r="V22" s="2016" cm="1">
        <f t="array" ref="V22">SUMPRODUCT((Application!$B$726:$B$760 = 'CalHFA Addendum'!V$18)*(Application!$AC$726:$AC$760 = 'CalHFA Addendum'!$B22),Application!$G$726:$G$760)</f>
        <v>4</v>
      </c>
      <c r="W22" s="2017"/>
      <c r="X22" s="2017"/>
      <c r="Y22" s="2017"/>
      <c r="Z22" s="2017"/>
      <c r="AA22" s="2018"/>
      <c r="AB22" s="2016" cm="1">
        <f t="array" ref="AB22">SUMPRODUCT((Application!$B$726:$B$760 = 'CalHFA Addendum'!AB$18)*(Application!$AC$726:$AC$760 = 'CalHFA Addendum'!$B22),Application!$G$726:$G$760)</f>
        <v>26</v>
      </c>
      <c r="AC22" s="2017"/>
      <c r="AD22" s="2017"/>
      <c r="AE22" s="2017"/>
      <c r="AF22" s="2017"/>
      <c r="AG22" s="2018"/>
      <c r="AH22" s="2016" cm="1">
        <f t="array" ref="AH22">SUMPRODUCT((Application!$B$726:$B$760 = 'CalHFA Addendum'!AH$18)*(Application!$AC$726:$AC$760 = 'CalHFA Addendum'!$B22),Application!$G$726:$G$760)</f>
        <v>31</v>
      </c>
      <c r="AI22" s="2017"/>
      <c r="AJ22" s="2017"/>
      <c r="AK22" s="2017"/>
      <c r="AL22" s="2017"/>
      <c r="AM22" s="2018"/>
      <c r="AN22" s="2016" cm="1">
        <f t="array" ref="AN22">SUMPRODUCT((Application!$B$726:$B$760 = 'CalHFA Addendum'!AN$18)*(Application!$AC$726:$AC$760 = 'CalHFA Addendum'!$B22),Application!$G$726:$G$760)</f>
        <v>0</v>
      </c>
      <c r="AO22" s="2017"/>
      <c r="AP22" s="2017"/>
      <c r="AQ22" s="2017"/>
      <c r="AR22" s="2017"/>
      <c r="AS22" s="2018"/>
      <c r="AT22" s="2019">
        <f t="shared" si="1"/>
        <v>0.53982300884955747</v>
      </c>
      <c r="AU22" s="2020"/>
      <c r="AV22" s="2020"/>
      <c r="AW22" s="2020"/>
      <c r="AX22" s="2020"/>
      <c r="AY22" s="2021"/>
      <c r="AZ22" s="1202"/>
      <c r="BA22" s="1202"/>
      <c r="BB22" s="1202"/>
      <c r="BC22" s="1202"/>
      <c r="BD22" s="1202"/>
      <c r="BE22" s="1209"/>
    </row>
    <row r="23" spans="1:58" ht="14.4">
      <c r="A23" s="1202"/>
      <c r="B23" s="2013">
        <v>0.7</v>
      </c>
      <c r="C23" s="2014"/>
      <c r="D23" s="2014"/>
      <c r="E23" s="2014"/>
      <c r="F23" s="2014"/>
      <c r="G23" s="2014"/>
      <c r="H23" s="2014"/>
      <c r="I23" s="2015"/>
      <c r="J23" s="2016">
        <f t="shared" si="0"/>
        <v>25</v>
      </c>
      <c r="K23" s="2017"/>
      <c r="L23" s="2017"/>
      <c r="M23" s="2017"/>
      <c r="N23" s="2017"/>
      <c r="O23" s="2018"/>
      <c r="P23" s="2016" cm="1">
        <f t="array" ref="P23">SUMPRODUCT((Application!$B$726:$B$760 = 'CalHFA Addendum'!P$18)*(Application!$AC$726:$AC$760 = 'CalHFA Addendum'!$B23),Application!$G$726:$G$760)</f>
        <v>0</v>
      </c>
      <c r="Q23" s="2017"/>
      <c r="R23" s="2017"/>
      <c r="S23" s="2017"/>
      <c r="T23" s="2017"/>
      <c r="U23" s="2018"/>
      <c r="V23" s="2016" cm="1">
        <f t="array" ref="V23">SUMPRODUCT((Application!$B$726:$B$760 = 'CalHFA Addendum'!V$18)*(Application!$AC$726:$AC$760 = 'CalHFA Addendum'!$B23),Application!$G$726:$G$760)</f>
        <v>5</v>
      </c>
      <c r="W23" s="2017"/>
      <c r="X23" s="2017"/>
      <c r="Y23" s="2017"/>
      <c r="Z23" s="2017"/>
      <c r="AA23" s="2018"/>
      <c r="AB23" s="2016" cm="1">
        <f t="array" ref="AB23">SUMPRODUCT((Application!$B$726:$B$760 = 'CalHFA Addendum'!AB$18)*(Application!$AC$726:$AC$760 = 'CalHFA Addendum'!$B23),Application!$G$726:$G$760)</f>
        <v>10</v>
      </c>
      <c r="AC23" s="2017"/>
      <c r="AD23" s="2017"/>
      <c r="AE23" s="2017"/>
      <c r="AF23" s="2017"/>
      <c r="AG23" s="2018"/>
      <c r="AH23" s="2016" cm="1">
        <f t="array" ref="AH23">SUMPRODUCT((Application!$B$726:$B$760 = 'CalHFA Addendum'!AH$18)*(Application!$AC$726:$AC$760 = 'CalHFA Addendum'!$B23),Application!$G$726:$G$760)</f>
        <v>10</v>
      </c>
      <c r="AI23" s="2017"/>
      <c r="AJ23" s="2017"/>
      <c r="AK23" s="2017"/>
      <c r="AL23" s="2017"/>
      <c r="AM23" s="2018"/>
      <c r="AN23" s="2016" cm="1">
        <f t="array" ref="AN23">SUMPRODUCT((Application!$B$726:$B$760 = 'CalHFA Addendum'!AN$18)*(Application!$AC$726:$AC$760 = 'CalHFA Addendum'!$B23),Application!$G$726:$G$760)</f>
        <v>0</v>
      </c>
      <c r="AO23" s="2017"/>
      <c r="AP23" s="2017"/>
      <c r="AQ23" s="2017"/>
      <c r="AR23" s="2017"/>
      <c r="AS23" s="2018"/>
      <c r="AT23" s="2019">
        <f t="shared" si="1"/>
        <v>0.22123893805309736</v>
      </c>
      <c r="AU23" s="2020"/>
      <c r="AV23" s="2020"/>
      <c r="AW23" s="2020"/>
      <c r="AX23" s="2020"/>
      <c r="AY23" s="2021"/>
      <c r="AZ23" s="1202"/>
      <c r="BA23" s="1202"/>
      <c r="BB23" s="1202"/>
      <c r="BC23" s="1202"/>
      <c r="BD23" s="1202"/>
      <c r="BE23" s="1209"/>
    </row>
    <row r="24" spans="1:58" ht="14.4">
      <c r="A24" s="1202"/>
      <c r="B24" s="2013">
        <v>0.8</v>
      </c>
      <c r="C24" s="2014"/>
      <c r="D24" s="2014"/>
      <c r="E24" s="2014"/>
      <c r="F24" s="2014"/>
      <c r="G24" s="2014"/>
      <c r="H24" s="2014"/>
      <c r="I24" s="2015"/>
      <c r="J24" s="2016">
        <f t="shared" si="0"/>
        <v>0</v>
      </c>
      <c r="K24" s="2017"/>
      <c r="L24" s="2017"/>
      <c r="M24" s="2017"/>
      <c r="N24" s="2017"/>
      <c r="O24" s="2018"/>
      <c r="P24" s="2016" cm="1">
        <f t="array" ref="P24">SUMPRODUCT((Application!$B$726:$B$760 = 'CalHFA Addendum'!P$18)*(Application!$AC$726:$AC$760 = 'CalHFA Addendum'!$B24),Application!$G$726:$G$760)</f>
        <v>0</v>
      </c>
      <c r="Q24" s="2017"/>
      <c r="R24" s="2017"/>
      <c r="S24" s="2017"/>
      <c r="T24" s="2017"/>
      <c r="U24" s="2018"/>
      <c r="V24" s="2016" cm="1">
        <f t="array" ref="V24">SUMPRODUCT((Application!$B$726:$B$760 = 'CalHFA Addendum'!V$18)*(Application!$AC$726:$AC$760 = 'CalHFA Addendum'!$B24),Application!$G$726:$G$760)</f>
        <v>0</v>
      </c>
      <c r="W24" s="2017"/>
      <c r="X24" s="2017"/>
      <c r="Y24" s="2017"/>
      <c r="Z24" s="2017"/>
      <c r="AA24" s="2018"/>
      <c r="AB24" s="2016" cm="1">
        <f t="array" ref="AB24">SUMPRODUCT((Application!$B$726:$B$760 = 'CalHFA Addendum'!AB$18)*(Application!$AC$726:$AC$760 = 'CalHFA Addendum'!$B24),Application!$G$726:$G$760)</f>
        <v>0</v>
      </c>
      <c r="AC24" s="2017"/>
      <c r="AD24" s="2017"/>
      <c r="AE24" s="2017"/>
      <c r="AF24" s="2017"/>
      <c r="AG24" s="2018"/>
      <c r="AH24" s="2016" cm="1">
        <f t="array" ref="AH24">SUMPRODUCT((Application!$B$726:$B$760 = 'CalHFA Addendum'!AH$18)*(Application!$AC$726:$AC$760 = 'CalHFA Addendum'!$B24),Application!$G$726:$G$760)</f>
        <v>0</v>
      </c>
      <c r="AI24" s="2017"/>
      <c r="AJ24" s="2017"/>
      <c r="AK24" s="2017"/>
      <c r="AL24" s="2017"/>
      <c r="AM24" s="2018"/>
      <c r="AN24" s="2016" cm="1">
        <f t="array" ref="AN24">SUMPRODUCT((Application!$B$726:$B$760 = 'CalHFA Addendum'!AN$18)*(Application!$AC$726:$AC$760 = 'CalHFA Addendum'!$B24),Application!$G$726:$G$760)</f>
        <v>0</v>
      </c>
      <c r="AO24" s="2017"/>
      <c r="AP24" s="2017"/>
      <c r="AQ24" s="2017"/>
      <c r="AR24" s="2017"/>
      <c r="AS24" s="2018"/>
      <c r="AT24" s="2019">
        <f t="shared" si="1"/>
        <v>0</v>
      </c>
      <c r="AU24" s="2020"/>
      <c r="AV24" s="2020"/>
      <c r="AW24" s="2020"/>
      <c r="AX24" s="2020"/>
      <c r="AY24" s="2021"/>
      <c r="AZ24" s="1202"/>
      <c r="BA24" s="1202"/>
      <c r="BB24" s="1202"/>
      <c r="BC24" s="1202"/>
      <c r="BD24" s="1202"/>
      <c r="BE24" s="1209"/>
    </row>
    <row r="25" spans="1:58" ht="14.4">
      <c r="A25" s="1202"/>
      <c r="B25" s="2013">
        <v>0.9</v>
      </c>
      <c r="C25" s="2014"/>
      <c r="D25" s="2014"/>
      <c r="E25" s="2014"/>
      <c r="F25" s="2014"/>
      <c r="G25" s="2014"/>
      <c r="H25" s="2014"/>
      <c r="I25" s="2015"/>
      <c r="J25" s="2022"/>
      <c r="K25" s="2023"/>
      <c r="L25" s="2023"/>
      <c r="M25" s="2023"/>
      <c r="N25" s="2023"/>
      <c r="O25" s="2024"/>
      <c r="P25" s="2022"/>
      <c r="Q25" s="2023"/>
      <c r="R25" s="2023"/>
      <c r="S25" s="2023"/>
      <c r="T25" s="2023"/>
      <c r="U25" s="2024"/>
      <c r="V25" s="2022"/>
      <c r="W25" s="2023"/>
      <c r="X25" s="2023"/>
      <c r="Y25" s="2023"/>
      <c r="Z25" s="2023"/>
      <c r="AA25" s="2024"/>
      <c r="AB25" s="2022"/>
      <c r="AC25" s="2023"/>
      <c r="AD25" s="2023"/>
      <c r="AE25" s="2023"/>
      <c r="AF25" s="2023"/>
      <c r="AG25" s="2024"/>
      <c r="AH25" s="2022"/>
      <c r="AI25" s="2023"/>
      <c r="AJ25" s="2023"/>
      <c r="AK25" s="2023"/>
      <c r="AL25" s="2023"/>
      <c r="AM25" s="2024"/>
      <c r="AN25" s="2022"/>
      <c r="AO25" s="2023"/>
      <c r="AP25" s="2023"/>
      <c r="AQ25" s="2023"/>
      <c r="AR25" s="2023"/>
      <c r="AS25" s="2024"/>
      <c r="AT25" s="2019">
        <f t="shared" si="1"/>
        <v>0</v>
      </c>
      <c r="AU25" s="2020"/>
      <c r="AV25" s="2020"/>
      <c r="AW25" s="2020"/>
      <c r="AX25" s="2020"/>
      <c r="AY25" s="2021"/>
      <c r="AZ25" s="1202"/>
      <c r="BA25" s="1202"/>
      <c r="BB25" s="1202"/>
      <c r="BC25" s="1202"/>
      <c r="BD25" s="1202"/>
      <c r="BE25" s="1209"/>
    </row>
    <row r="26" spans="1:58" ht="14.4">
      <c r="A26" s="1202"/>
      <c r="B26" s="2013">
        <v>1</v>
      </c>
      <c r="C26" s="2014"/>
      <c r="D26" s="2014"/>
      <c r="E26" s="2014"/>
      <c r="F26" s="2014"/>
      <c r="G26" s="2014"/>
      <c r="H26" s="2014"/>
      <c r="I26" s="2015"/>
      <c r="J26" s="2022"/>
      <c r="K26" s="2023"/>
      <c r="L26" s="2023"/>
      <c r="M26" s="2023"/>
      <c r="N26" s="2023"/>
      <c r="O26" s="2024"/>
      <c r="P26" s="2022"/>
      <c r="Q26" s="2023"/>
      <c r="R26" s="2023"/>
      <c r="S26" s="2023"/>
      <c r="T26" s="2023"/>
      <c r="U26" s="2024"/>
      <c r="V26" s="2022"/>
      <c r="W26" s="2023"/>
      <c r="X26" s="2023"/>
      <c r="Y26" s="2023"/>
      <c r="Z26" s="2023"/>
      <c r="AA26" s="2024"/>
      <c r="AB26" s="2022"/>
      <c r="AC26" s="2023"/>
      <c r="AD26" s="2023"/>
      <c r="AE26" s="2023"/>
      <c r="AF26" s="2023"/>
      <c r="AG26" s="2024"/>
      <c r="AH26" s="2022"/>
      <c r="AI26" s="2023"/>
      <c r="AJ26" s="2023"/>
      <c r="AK26" s="2023"/>
      <c r="AL26" s="2023"/>
      <c r="AM26" s="2024"/>
      <c r="AN26" s="2022"/>
      <c r="AO26" s="2023"/>
      <c r="AP26" s="2023"/>
      <c r="AQ26" s="2023"/>
      <c r="AR26" s="2023"/>
      <c r="AS26" s="2024"/>
      <c r="AT26" s="2019">
        <f t="shared" si="1"/>
        <v>0</v>
      </c>
      <c r="AU26" s="2020"/>
      <c r="AV26" s="2020"/>
      <c r="AW26" s="2020"/>
      <c r="AX26" s="2020"/>
      <c r="AY26" s="2021"/>
      <c r="AZ26" s="1202"/>
      <c r="BA26" s="1202"/>
      <c r="BB26" s="1202"/>
      <c r="BC26" s="1202"/>
      <c r="BD26" s="1202"/>
      <c r="BE26" s="1209"/>
    </row>
    <row r="27" spans="1:58" ht="14.4">
      <c r="A27" s="1202"/>
      <c r="B27" s="2013">
        <v>1.2</v>
      </c>
      <c r="C27" s="2014"/>
      <c r="D27" s="2014"/>
      <c r="E27" s="2014"/>
      <c r="F27" s="2014"/>
      <c r="G27" s="2014"/>
      <c r="H27" s="2014"/>
      <c r="I27" s="2015"/>
      <c r="J27" s="2022"/>
      <c r="K27" s="2023"/>
      <c r="L27" s="2023"/>
      <c r="M27" s="2023"/>
      <c r="N27" s="2023"/>
      <c r="O27" s="2024"/>
      <c r="P27" s="2022"/>
      <c r="Q27" s="2023"/>
      <c r="R27" s="2023"/>
      <c r="S27" s="2023"/>
      <c r="T27" s="2023"/>
      <c r="U27" s="2024"/>
      <c r="V27" s="2022"/>
      <c r="W27" s="2023"/>
      <c r="X27" s="2023"/>
      <c r="Y27" s="2023"/>
      <c r="Z27" s="2023"/>
      <c r="AA27" s="2024"/>
      <c r="AB27" s="2022"/>
      <c r="AC27" s="2023"/>
      <c r="AD27" s="2023"/>
      <c r="AE27" s="2023"/>
      <c r="AF27" s="2023"/>
      <c r="AG27" s="2024"/>
      <c r="AH27" s="2022"/>
      <c r="AI27" s="2023"/>
      <c r="AJ27" s="2023"/>
      <c r="AK27" s="2023"/>
      <c r="AL27" s="2023"/>
      <c r="AM27" s="2024"/>
      <c r="AN27" s="2022"/>
      <c r="AO27" s="2023"/>
      <c r="AP27" s="2023"/>
      <c r="AQ27" s="2023"/>
      <c r="AR27" s="2023"/>
      <c r="AS27" s="2024"/>
      <c r="AT27" s="2019">
        <f t="shared" si="1"/>
        <v>0</v>
      </c>
      <c r="AU27" s="2020"/>
      <c r="AV27" s="2020"/>
      <c r="AW27" s="2020"/>
      <c r="AX27" s="2020"/>
      <c r="AY27" s="2021"/>
      <c r="AZ27" s="1202"/>
      <c r="BA27" s="1202"/>
      <c r="BB27" s="1202"/>
      <c r="BC27" s="1202"/>
      <c r="BD27" s="1202"/>
      <c r="BE27" s="1209"/>
    </row>
    <row r="28" spans="1:58" ht="15" thickBot="1">
      <c r="A28" s="1202"/>
      <c r="B28" s="2025" t="s">
        <v>2356</v>
      </c>
      <c r="C28" s="2026"/>
      <c r="D28" s="2026"/>
      <c r="E28" s="2026"/>
      <c r="F28" s="2026"/>
      <c r="G28" s="2026"/>
      <c r="H28" s="2026"/>
      <c r="I28" s="2027"/>
      <c r="J28" s="2028">
        <f>SUM(P28:AS28)</f>
        <v>1</v>
      </c>
      <c r="K28" s="2029"/>
      <c r="L28" s="2029"/>
      <c r="M28" s="2029"/>
      <c r="N28" s="2029"/>
      <c r="O28" s="2030"/>
      <c r="P28" s="2028">
        <f>_xlfn.IFNA(VLOOKUP(P$18,Application!$J$781:$S$784,6,FALSE), 0)</f>
        <v>0</v>
      </c>
      <c r="Q28" s="2029"/>
      <c r="R28" s="2029"/>
      <c r="S28" s="2029"/>
      <c r="T28" s="2029"/>
      <c r="U28" s="2030"/>
      <c r="V28" s="2028">
        <f>_xlfn.IFNA(VLOOKUP(V$18,Application!$J$781:$S$784,6,FALSE), 0)</f>
        <v>0</v>
      </c>
      <c r="W28" s="2029"/>
      <c r="X28" s="2029"/>
      <c r="Y28" s="2029"/>
      <c r="Z28" s="2029"/>
      <c r="AA28" s="2030"/>
      <c r="AB28" s="2028">
        <f>_xlfn.IFNA(VLOOKUP(AB$18,Application!$J$781:$S$784,6,FALSE), 0)</f>
        <v>0</v>
      </c>
      <c r="AC28" s="2029"/>
      <c r="AD28" s="2029"/>
      <c r="AE28" s="2029"/>
      <c r="AF28" s="2029"/>
      <c r="AG28" s="2030"/>
      <c r="AH28" s="2028">
        <f>_xlfn.IFNA(VLOOKUP(AH$18,Application!$J$781:$S$784,6,FALSE), 0)</f>
        <v>1</v>
      </c>
      <c r="AI28" s="2029"/>
      <c r="AJ28" s="2029"/>
      <c r="AK28" s="2029"/>
      <c r="AL28" s="2029"/>
      <c r="AM28" s="2030"/>
      <c r="AN28" s="2028">
        <f>_xlfn.IFNA(VLOOKUP(AN$18,Application!$J$781:$S$784,6,FALSE), 0)</f>
        <v>0</v>
      </c>
      <c r="AO28" s="2029"/>
      <c r="AP28" s="2029"/>
      <c r="AQ28" s="2029"/>
      <c r="AR28" s="2029"/>
      <c r="AS28" s="2030"/>
      <c r="AT28" s="2031">
        <f t="shared" si="1"/>
        <v>8.8495575221238937E-3</v>
      </c>
      <c r="AU28" s="2032"/>
      <c r="AV28" s="2032"/>
      <c r="AW28" s="2032"/>
      <c r="AX28" s="2032"/>
      <c r="AY28" s="2033"/>
      <c r="AZ28" s="1202"/>
      <c r="BA28" s="1202"/>
      <c r="BB28" s="1202"/>
      <c r="BC28" s="1202"/>
      <c r="BD28" s="1202"/>
      <c r="BE28" s="1209"/>
    </row>
    <row r="29" spans="1:58" ht="15" thickBot="1">
      <c r="A29" s="1202"/>
      <c r="B29" s="2062" t="s">
        <v>1572</v>
      </c>
      <c r="C29" s="2035"/>
      <c r="D29" s="2035"/>
      <c r="E29" s="2035"/>
      <c r="F29" s="2035"/>
      <c r="G29" s="2035"/>
      <c r="H29" s="2035"/>
      <c r="I29" s="2036"/>
      <c r="J29" s="2034">
        <f>SUM(J19:O28)</f>
        <v>113</v>
      </c>
      <c r="K29" s="2035"/>
      <c r="L29" s="2035"/>
      <c r="M29" s="2035"/>
      <c r="N29" s="2035"/>
      <c r="O29" s="2036"/>
      <c r="P29" s="2034">
        <f>SUM(P19:U28)</f>
        <v>0</v>
      </c>
      <c r="Q29" s="2035"/>
      <c r="R29" s="2035"/>
      <c r="S29" s="2035"/>
      <c r="T29" s="2035"/>
      <c r="U29" s="2036"/>
      <c r="V29" s="2034">
        <f>SUM(V19:AA28)</f>
        <v>15</v>
      </c>
      <c r="W29" s="2035"/>
      <c r="X29" s="2035"/>
      <c r="Y29" s="2035"/>
      <c r="Z29" s="2035"/>
      <c r="AA29" s="2036"/>
      <c r="AB29" s="2034">
        <f>SUM(AB19:AG28)</f>
        <v>44</v>
      </c>
      <c r="AC29" s="2035"/>
      <c r="AD29" s="2035"/>
      <c r="AE29" s="2035"/>
      <c r="AF29" s="2035"/>
      <c r="AG29" s="2036"/>
      <c r="AH29" s="2034">
        <f>SUM(AH19:AM28)</f>
        <v>54</v>
      </c>
      <c r="AI29" s="2035"/>
      <c r="AJ29" s="2035"/>
      <c r="AK29" s="2035"/>
      <c r="AL29" s="2035"/>
      <c r="AM29" s="2036"/>
      <c r="AN29" s="2034">
        <f>SUM(AN19:AS28)</f>
        <v>0</v>
      </c>
      <c r="AO29" s="2035"/>
      <c r="AP29" s="2035"/>
      <c r="AQ29" s="2035"/>
      <c r="AR29" s="2035"/>
      <c r="AS29" s="2036"/>
      <c r="AT29" s="2037">
        <f t="shared" si="1"/>
        <v>1</v>
      </c>
      <c r="AU29" s="2038"/>
      <c r="AV29" s="2038"/>
      <c r="AW29" s="2038"/>
      <c r="AX29" s="2038"/>
      <c r="AY29" s="2039"/>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2040" t="s">
        <v>2355</v>
      </c>
      <c r="C31" s="2041"/>
      <c r="D31" s="2041"/>
      <c r="E31" s="2041"/>
      <c r="F31" s="2041"/>
      <c r="G31" s="2041"/>
      <c r="H31" s="2041"/>
      <c r="I31" s="2041"/>
      <c r="J31" s="2041"/>
      <c r="K31" s="2041"/>
      <c r="L31" s="2041"/>
      <c r="M31" s="2041"/>
      <c r="N31" s="2041"/>
      <c r="O31" s="2041"/>
      <c r="P31" s="2041"/>
      <c r="Q31" s="2041"/>
      <c r="R31" s="2041"/>
      <c r="S31" s="2041"/>
      <c r="T31" s="2041"/>
      <c r="U31" s="2041"/>
      <c r="V31" s="2041"/>
      <c r="W31" s="2041"/>
      <c r="X31" s="2041"/>
      <c r="Y31" s="2041"/>
      <c r="Z31" s="2041"/>
      <c r="AA31" s="2041"/>
      <c r="AB31" s="2041"/>
      <c r="AC31" s="2041"/>
      <c r="AD31" s="2041"/>
      <c r="AE31" s="2041"/>
      <c r="AF31" s="2041"/>
      <c r="AG31" s="2041"/>
      <c r="AH31" s="2041"/>
      <c r="AI31" s="2041"/>
      <c r="AJ31" s="2041"/>
      <c r="AK31" s="2041"/>
      <c r="AL31" s="2041"/>
      <c r="AM31" s="2041"/>
      <c r="AN31" s="2041"/>
      <c r="AO31" s="2041"/>
      <c r="AP31" s="2041"/>
      <c r="AQ31" s="2041"/>
      <c r="AR31" s="2041"/>
      <c r="AS31" s="2041"/>
      <c r="AT31" s="2041"/>
      <c r="AU31" s="2041"/>
      <c r="AV31" s="2041"/>
      <c r="AW31" s="2041"/>
      <c r="AX31" s="2041"/>
      <c r="AY31" s="2041"/>
      <c r="AZ31" s="2041"/>
      <c r="BA31" s="2041"/>
      <c r="BB31" s="2041"/>
      <c r="BC31" s="2041"/>
      <c r="BD31" s="2042"/>
      <c r="BE31" s="1209"/>
    </row>
    <row r="32" spans="1:58" ht="15" thickBot="1">
      <c r="A32" s="1202"/>
      <c r="B32" s="2043" t="s">
        <v>2354</v>
      </c>
      <c r="C32" s="2044"/>
      <c r="D32" s="2044"/>
      <c r="E32" s="2044"/>
      <c r="F32" s="2044"/>
      <c r="G32" s="2044"/>
      <c r="H32" s="2044"/>
      <c r="I32" s="2044"/>
      <c r="J32" s="2047" t="s">
        <v>2353</v>
      </c>
      <c r="K32" s="2048"/>
      <c r="L32" s="2048"/>
      <c r="M32" s="2048"/>
      <c r="N32" s="2047" t="s">
        <v>2352</v>
      </c>
      <c r="O32" s="2048"/>
      <c r="P32" s="2048"/>
      <c r="Q32" s="2050"/>
      <c r="R32" s="2052" t="s">
        <v>2351</v>
      </c>
      <c r="S32" s="2053"/>
      <c r="T32" s="2053"/>
      <c r="U32" s="2053"/>
      <c r="V32" s="2053"/>
      <c r="W32" s="2053"/>
      <c r="X32" s="2053"/>
      <c r="Y32" s="2053"/>
      <c r="Z32" s="2053"/>
      <c r="AA32" s="2053"/>
      <c r="AB32" s="2053"/>
      <c r="AC32" s="2053"/>
      <c r="AD32" s="2053"/>
      <c r="AE32" s="2053"/>
      <c r="AF32" s="2053"/>
      <c r="AG32" s="2053"/>
      <c r="AH32" s="2053"/>
      <c r="AI32" s="2053"/>
      <c r="AJ32" s="2053"/>
      <c r="AK32" s="2053"/>
      <c r="AL32" s="2053"/>
      <c r="AM32" s="2053"/>
      <c r="AN32" s="2053"/>
      <c r="AO32" s="2053"/>
      <c r="AP32" s="2053"/>
      <c r="AQ32" s="2053"/>
      <c r="AR32" s="2053"/>
      <c r="AS32" s="2053"/>
      <c r="AT32" s="2053"/>
      <c r="AU32" s="2053"/>
      <c r="AV32" s="2053"/>
      <c r="AW32" s="2053"/>
      <c r="AX32" s="2053"/>
      <c r="AY32" s="2053"/>
      <c r="AZ32" s="2053"/>
      <c r="BA32" s="2053"/>
      <c r="BB32" s="2053"/>
      <c r="BC32" s="2053"/>
      <c r="BD32" s="2054"/>
      <c r="BE32" s="1209"/>
    </row>
    <row r="33" spans="1:58" ht="15" customHeight="1">
      <c r="A33" s="1202"/>
      <c r="B33" s="2045"/>
      <c r="C33" s="2046"/>
      <c r="D33" s="2046"/>
      <c r="E33" s="2046"/>
      <c r="F33" s="2046"/>
      <c r="G33" s="2046"/>
      <c r="H33" s="2046"/>
      <c r="I33" s="2046"/>
      <c r="J33" s="2049"/>
      <c r="K33" s="2049"/>
      <c r="L33" s="2049"/>
      <c r="M33" s="2049"/>
      <c r="N33" s="2049"/>
      <c r="O33" s="2049"/>
      <c r="P33" s="2049"/>
      <c r="Q33" s="2051"/>
      <c r="R33" s="2055" t="s">
        <v>2350</v>
      </c>
      <c r="S33" s="2056"/>
      <c r="T33" s="2056"/>
      <c r="U33" s="2056"/>
      <c r="V33" s="2056"/>
      <c r="W33" s="2056"/>
      <c r="X33" s="2056"/>
      <c r="Y33" s="2056"/>
      <c r="Z33" s="2056"/>
      <c r="AA33" s="2056"/>
      <c r="AB33" s="2056"/>
      <c r="AC33" s="2056"/>
      <c r="AD33" s="2056"/>
      <c r="AE33" s="2056"/>
      <c r="AF33" s="2056"/>
      <c r="AG33" s="2056"/>
      <c r="AH33" s="2056"/>
      <c r="AI33" s="2056"/>
      <c r="AJ33" s="2056"/>
      <c r="AK33" s="2056"/>
      <c r="AL33" s="2056"/>
      <c r="AM33" s="2056"/>
      <c r="AN33" s="2056"/>
      <c r="AO33" s="2056"/>
      <c r="AP33" s="2056"/>
      <c r="AQ33" s="2056"/>
      <c r="AR33" s="2056"/>
      <c r="AS33" s="2056"/>
      <c r="AT33" s="2056"/>
      <c r="AU33" s="2056"/>
      <c r="AV33" s="2056"/>
      <c r="AW33" s="2056"/>
      <c r="AX33" s="2056"/>
      <c r="AY33" s="2056"/>
      <c r="AZ33" s="2056"/>
      <c r="BA33" s="2056"/>
      <c r="BB33" s="2056"/>
      <c r="BC33" s="2056"/>
      <c r="BD33" s="2057"/>
      <c r="BE33" s="1209"/>
    </row>
    <row r="34" spans="1:58" ht="15.75" customHeight="1" thickBot="1">
      <c r="A34" s="1202"/>
      <c r="B34" s="2045"/>
      <c r="C34" s="2046"/>
      <c r="D34" s="2046"/>
      <c r="E34" s="2046"/>
      <c r="F34" s="2046"/>
      <c r="G34" s="2046"/>
      <c r="H34" s="2046"/>
      <c r="I34" s="2046"/>
      <c r="J34" s="2049"/>
      <c r="K34" s="2049"/>
      <c r="L34" s="2049"/>
      <c r="M34" s="2049"/>
      <c r="N34" s="2049"/>
      <c r="O34" s="2049"/>
      <c r="P34" s="2049"/>
      <c r="Q34" s="2051"/>
      <c r="R34" s="2058"/>
      <c r="S34" s="2059"/>
      <c r="T34" s="2059"/>
      <c r="U34" s="2059"/>
      <c r="V34" s="2059"/>
      <c r="W34" s="2059"/>
      <c r="X34" s="2059"/>
      <c r="Y34" s="2059"/>
      <c r="Z34" s="2059"/>
      <c r="AA34" s="2059"/>
      <c r="AB34" s="2059"/>
      <c r="AC34" s="2059"/>
      <c r="AD34" s="2059"/>
      <c r="AE34" s="2059"/>
      <c r="AF34" s="2059"/>
      <c r="AG34" s="2059"/>
      <c r="AH34" s="2059"/>
      <c r="AI34" s="2059"/>
      <c r="AJ34" s="2059"/>
      <c r="AK34" s="2059"/>
      <c r="AL34" s="2059"/>
      <c r="AM34" s="2059"/>
      <c r="AN34" s="2059"/>
      <c r="AO34" s="2059"/>
      <c r="AP34" s="2059"/>
      <c r="AQ34" s="2059"/>
      <c r="AR34" s="2059"/>
      <c r="AS34" s="2059"/>
      <c r="AT34" s="2059"/>
      <c r="AU34" s="2059"/>
      <c r="AV34" s="2059"/>
      <c r="AW34" s="2059"/>
      <c r="AX34" s="2059"/>
      <c r="AY34" s="2059"/>
      <c r="AZ34" s="2059"/>
      <c r="BA34" s="2059"/>
      <c r="BB34" s="2059"/>
      <c r="BC34" s="2059"/>
      <c r="BD34" s="2060"/>
      <c r="BE34" s="1209"/>
    </row>
    <row r="35" spans="1:58" ht="15.75" customHeight="1">
      <c r="A35" s="1202"/>
      <c r="B35" s="2045"/>
      <c r="C35" s="2046"/>
      <c r="D35" s="2046"/>
      <c r="E35" s="2046"/>
      <c r="F35" s="2046"/>
      <c r="G35" s="2046"/>
      <c r="H35" s="2046"/>
      <c r="I35" s="2046"/>
      <c r="J35" s="2049"/>
      <c r="K35" s="2049"/>
      <c r="L35" s="2049"/>
      <c r="M35" s="2049"/>
      <c r="N35" s="2049"/>
      <c r="O35" s="2049"/>
      <c r="P35" s="2049"/>
      <c r="Q35" s="2049"/>
      <c r="R35" s="2061">
        <v>0.3</v>
      </c>
      <c r="S35" s="2061"/>
      <c r="T35" s="2061"/>
      <c r="U35" s="2061"/>
      <c r="V35" s="2061">
        <v>0.4</v>
      </c>
      <c r="W35" s="2061"/>
      <c r="X35" s="2061"/>
      <c r="Y35" s="2061"/>
      <c r="Z35" s="2061">
        <v>0.5</v>
      </c>
      <c r="AA35" s="2061"/>
      <c r="AB35" s="2061"/>
      <c r="AC35" s="2061"/>
      <c r="AD35" s="2061">
        <v>0.6</v>
      </c>
      <c r="AE35" s="2061"/>
      <c r="AF35" s="2061"/>
      <c r="AG35" s="2061"/>
      <c r="AH35" s="2061">
        <v>0.7</v>
      </c>
      <c r="AI35" s="2061"/>
      <c r="AJ35" s="2061"/>
      <c r="AK35" s="2061"/>
      <c r="AL35" s="2066">
        <v>0.8</v>
      </c>
      <c r="AM35" s="2067"/>
      <c r="AN35" s="2067"/>
      <c r="AO35" s="2068"/>
      <c r="AP35" s="2069">
        <v>1.2</v>
      </c>
      <c r="AQ35" s="2070"/>
      <c r="AR35" s="2071"/>
      <c r="AS35" s="2063" t="s">
        <v>2349</v>
      </c>
      <c r="AT35" s="2064"/>
      <c r="AU35" s="2064"/>
      <c r="AV35" s="2064"/>
      <c r="AW35" s="2064"/>
      <c r="AX35" s="2072"/>
      <c r="AY35" s="2063" t="s">
        <v>2348</v>
      </c>
      <c r="AZ35" s="2064"/>
      <c r="BA35" s="2064"/>
      <c r="BB35" s="2064"/>
      <c r="BC35" s="2064"/>
      <c r="BD35" s="2065"/>
      <c r="BE35" s="1209"/>
    </row>
    <row r="36" spans="1:58" ht="15.75" customHeight="1">
      <c r="A36" s="1202"/>
      <c r="B36" s="2082" t="s">
        <v>2347</v>
      </c>
      <c r="C36" s="2083"/>
      <c r="D36" s="2083"/>
      <c r="E36" s="2083"/>
      <c r="F36" s="2083"/>
      <c r="G36" s="2083"/>
      <c r="H36" s="2083"/>
      <c r="I36" s="2083"/>
      <c r="J36" s="2084" t="s">
        <v>2346</v>
      </c>
      <c r="K36" s="2084"/>
      <c r="L36" s="2084"/>
      <c r="M36" s="2084"/>
      <c r="N36" s="2084">
        <v>55</v>
      </c>
      <c r="O36" s="2084"/>
      <c r="P36" s="2084"/>
      <c r="Q36" s="2084"/>
      <c r="R36" s="2085"/>
      <c r="S36" s="2085"/>
      <c r="T36" s="2085"/>
      <c r="U36" s="2085"/>
      <c r="V36" s="2085"/>
      <c r="W36" s="2085"/>
      <c r="X36" s="2085"/>
      <c r="Y36" s="2085"/>
      <c r="Z36" s="2085"/>
      <c r="AA36" s="2085"/>
      <c r="AB36" s="2085"/>
      <c r="AC36" s="2085"/>
      <c r="AD36" s="2085"/>
      <c r="AE36" s="2085"/>
      <c r="AF36" s="2085"/>
      <c r="AG36" s="2085"/>
      <c r="AH36" s="2085"/>
      <c r="AI36" s="2085"/>
      <c r="AJ36" s="2085"/>
      <c r="AK36" s="2085"/>
      <c r="AL36" s="2073"/>
      <c r="AM36" s="2074"/>
      <c r="AN36" s="2074"/>
      <c r="AO36" s="2075"/>
      <c r="AP36" s="2073"/>
      <c r="AQ36" s="2074"/>
      <c r="AR36" s="2075"/>
      <c r="AS36" s="2076">
        <f t="shared" ref="AS36:AS47" si="2">SUM(R36:AR36)</f>
        <v>0</v>
      </c>
      <c r="AT36" s="2077"/>
      <c r="AU36" s="2077"/>
      <c r="AV36" s="2077"/>
      <c r="AW36" s="2077"/>
      <c r="AX36" s="2078"/>
      <c r="AY36" s="2079">
        <f t="shared" ref="AY36:AY47" si="3">AS36/$J$29</f>
        <v>0</v>
      </c>
      <c r="AZ36" s="2080"/>
      <c r="BA36" s="2080"/>
      <c r="BB36" s="2080"/>
      <c r="BC36" s="2080"/>
      <c r="BD36" s="2081"/>
      <c r="BE36" s="1209"/>
    </row>
    <row r="37" spans="1:58" ht="15.75" customHeight="1">
      <c r="A37" s="1202"/>
      <c r="B37" s="2082" t="s">
        <v>2345</v>
      </c>
      <c r="C37" s="2083"/>
      <c r="D37" s="2083"/>
      <c r="E37" s="2083"/>
      <c r="F37" s="2083"/>
      <c r="G37" s="2083"/>
      <c r="H37" s="2083"/>
      <c r="I37" s="2083"/>
      <c r="J37" s="2084" t="s">
        <v>2344</v>
      </c>
      <c r="K37" s="2084"/>
      <c r="L37" s="2084"/>
      <c r="M37" s="2084"/>
      <c r="N37" s="2084">
        <v>55</v>
      </c>
      <c r="O37" s="2084"/>
      <c r="P37" s="2084"/>
      <c r="Q37" s="2084"/>
      <c r="R37" s="2085"/>
      <c r="S37" s="2085"/>
      <c r="T37" s="2085"/>
      <c r="U37" s="2085"/>
      <c r="V37" s="2085"/>
      <c r="W37" s="2085"/>
      <c r="X37" s="2085"/>
      <c r="Y37" s="2085"/>
      <c r="Z37" s="2085"/>
      <c r="AA37" s="2085"/>
      <c r="AB37" s="2085"/>
      <c r="AC37" s="2085"/>
      <c r="AD37" s="2085"/>
      <c r="AE37" s="2085"/>
      <c r="AF37" s="2085"/>
      <c r="AG37" s="2085"/>
      <c r="AH37" s="2085"/>
      <c r="AI37" s="2085"/>
      <c r="AJ37" s="2085"/>
      <c r="AK37" s="2085"/>
      <c r="AL37" s="2073"/>
      <c r="AM37" s="2074"/>
      <c r="AN37" s="2074"/>
      <c r="AO37" s="2075"/>
      <c r="AP37" s="2073"/>
      <c r="AQ37" s="2074"/>
      <c r="AR37" s="2075"/>
      <c r="AS37" s="2076">
        <f t="shared" si="2"/>
        <v>0</v>
      </c>
      <c r="AT37" s="2077"/>
      <c r="AU37" s="2077"/>
      <c r="AV37" s="2077"/>
      <c r="AW37" s="2077"/>
      <c r="AX37" s="2078"/>
      <c r="AY37" s="2079">
        <f t="shared" si="3"/>
        <v>0</v>
      </c>
      <c r="AZ37" s="2080"/>
      <c r="BA37" s="2080"/>
      <c r="BB37" s="2080"/>
      <c r="BC37" s="2080"/>
      <c r="BD37" s="2081"/>
      <c r="BE37" s="1209"/>
    </row>
    <row r="38" spans="1:58" ht="15.75" customHeight="1">
      <c r="A38" s="1202"/>
      <c r="B38" s="2082" t="s">
        <v>2343</v>
      </c>
      <c r="C38" s="2083"/>
      <c r="D38" s="2083"/>
      <c r="E38" s="2083"/>
      <c r="F38" s="2083"/>
      <c r="G38" s="2083"/>
      <c r="H38" s="2083"/>
      <c r="I38" s="2083"/>
      <c r="J38" s="2084" t="s">
        <v>2342</v>
      </c>
      <c r="K38" s="2084"/>
      <c r="L38" s="2084"/>
      <c r="M38" s="2084"/>
      <c r="N38" s="2084">
        <v>55</v>
      </c>
      <c r="O38" s="2084"/>
      <c r="P38" s="2084"/>
      <c r="Q38" s="2084"/>
      <c r="R38" s="2085"/>
      <c r="S38" s="2085"/>
      <c r="T38" s="2085"/>
      <c r="U38" s="2085"/>
      <c r="V38" s="2085"/>
      <c r="W38" s="2085"/>
      <c r="X38" s="2085"/>
      <c r="Y38" s="2085"/>
      <c r="Z38" s="2085"/>
      <c r="AA38" s="2085"/>
      <c r="AB38" s="2085"/>
      <c r="AC38" s="2085"/>
      <c r="AD38" s="2085"/>
      <c r="AE38" s="2085"/>
      <c r="AF38" s="2085"/>
      <c r="AG38" s="2085"/>
      <c r="AH38" s="2085"/>
      <c r="AI38" s="2085"/>
      <c r="AJ38" s="2085"/>
      <c r="AK38" s="2085"/>
      <c r="AL38" s="2073"/>
      <c r="AM38" s="2074"/>
      <c r="AN38" s="2074"/>
      <c r="AO38" s="2075"/>
      <c r="AP38" s="2073"/>
      <c r="AQ38" s="2074"/>
      <c r="AR38" s="2075"/>
      <c r="AS38" s="2076">
        <f t="shared" si="2"/>
        <v>0</v>
      </c>
      <c r="AT38" s="2077"/>
      <c r="AU38" s="2077"/>
      <c r="AV38" s="2077"/>
      <c r="AW38" s="2077"/>
      <c r="AX38" s="2078"/>
      <c r="AY38" s="2079">
        <f t="shared" si="3"/>
        <v>0</v>
      </c>
      <c r="AZ38" s="2080"/>
      <c r="BA38" s="2080"/>
      <c r="BB38" s="2080"/>
      <c r="BC38" s="2080"/>
      <c r="BD38" s="2081"/>
      <c r="BE38" s="1209"/>
    </row>
    <row r="39" spans="1:58" ht="15.75" customHeight="1">
      <c r="A39" s="1202"/>
      <c r="B39" s="2082" t="s">
        <v>2341</v>
      </c>
      <c r="C39" s="2083"/>
      <c r="D39" s="2083"/>
      <c r="E39" s="2083"/>
      <c r="F39" s="2083"/>
      <c r="G39" s="2083"/>
      <c r="H39" s="2083"/>
      <c r="I39" s="2083"/>
      <c r="J39" s="2084"/>
      <c r="K39" s="2084"/>
      <c r="L39" s="2084"/>
      <c r="M39" s="2084"/>
      <c r="N39" s="2084"/>
      <c r="O39" s="2084"/>
      <c r="P39" s="2084"/>
      <c r="Q39" s="2084"/>
      <c r="R39" s="2085"/>
      <c r="S39" s="2085"/>
      <c r="T39" s="2085"/>
      <c r="U39" s="2085"/>
      <c r="V39" s="2085"/>
      <c r="W39" s="2085"/>
      <c r="X39" s="2085"/>
      <c r="Y39" s="2085"/>
      <c r="Z39" s="2085"/>
      <c r="AA39" s="2085"/>
      <c r="AB39" s="2085"/>
      <c r="AC39" s="2085"/>
      <c r="AD39" s="2085"/>
      <c r="AE39" s="2085"/>
      <c r="AF39" s="2085"/>
      <c r="AG39" s="2085"/>
      <c r="AH39" s="2085"/>
      <c r="AI39" s="2085"/>
      <c r="AJ39" s="2085"/>
      <c r="AK39" s="2085"/>
      <c r="AL39" s="2073"/>
      <c r="AM39" s="2074"/>
      <c r="AN39" s="2074"/>
      <c r="AO39" s="2075"/>
      <c r="AP39" s="2073"/>
      <c r="AQ39" s="2074"/>
      <c r="AR39" s="2075"/>
      <c r="AS39" s="2076">
        <f t="shared" si="2"/>
        <v>0</v>
      </c>
      <c r="AT39" s="2077"/>
      <c r="AU39" s="2077"/>
      <c r="AV39" s="2077"/>
      <c r="AW39" s="2077"/>
      <c r="AX39" s="2078"/>
      <c r="AY39" s="2079">
        <f t="shared" si="3"/>
        <v>0</v>
      </c>
      <c r="AZ39" s="2080"/>
      <c r="BA39" s="2080"/>
      <c r="BB39" s="2080"/>
      <c r="BC39" s="2080"/>
      <c r="BD39" s="2081"/>
      <c r="BE39" s="1209"/>
    </row>
    <row r="40" spans="1:58" ht="15.75" customHeight="1">
      <c r="A40" s="1202"/>
      <c r="B40" s="2082" t="s">
        <v>2341</v>
      </c>
      <c r="C40" s="2083"/>
      <c r="D40" s="2083"/>
      <c r="E40" s="2083"/>
      <c r="F40" s="2083"/>
      <c r="G40" s="2083"/>
      <c r="H40" s="2083"/>
      <c r="I40" s="2083"/>
      <c r="J40" s="2084"/>
      <c r="K40" s="2084"/>
      <c r="L40" s="2084"/>
      <c r="M40" s="2084"/>
      <c r="N40" s="2084"/>
      <c r="O40" s="2084"/>
      <c r="P40" s="2084"/>
      <c r="Q40" s="2084"/>
      <c r="R40" s="2085"/>
      <c r="S40" s="2085"/>
      <c r="T40" s="2085"/>
      <c r="U40" s="2085"/>
      <c r="V40" s="2085"/>
      <c r="W40" s="2085"/>
      <c r="X40" s="2085"/>
      <c r="Y40" s="2085"/>
      <c r="Z40" s="2085"/>
      <c r="AA40" s="2085"/>
      <c r="AB40" s="2085"/>
      <c r="AC40" s="2085"/>
      <c r="AD40" s="2085"/>
      <c r="AE40" s="2085"/>
      <c r="AF40" s="2085"/>
      <c r="AG40" s="2085"/>
      <c r="AH40" s="2085"/>
      <c r="AI40" s="2085"/>
      <c r="AJ40" s="2085"/>
      <c r="AK40" s="2085"/>
      <c r="AL40" s="2073"/>
      <c r="AM40" s="2074"/>
      <c r="AN40" s="2074"/>
      <c r="AO40" s="2075"/>
      <c r="AP40" s="2073"/>
      <c r="AQ40" s="2074"/>
      <c r="AR40" s="2075"/>
      <c r="AS40" s="2076">
        <f t="shared" si="2"/>
        <v>0</v>
      </c>
      <c r="AT40" s="2077"/>
      <c r="AU40" s="2077"/>
      <c r="AV40" s="2077"/>
      <c r="AW40" s="2077"/>
      <c r="AX40" s="2078"/>
      <c r="AY40" s="2079">
        <f t="shared" si="3"/>
        <v>0</v>
      </c>
      <c r="AZ40" s="2080"/>
      <c r="BA40" s="2080"/>
      <c r="BB40" s="2080"/>
      <c r="BC40" s="2080"/>
      <c r="BD40" s="2081"/>
      <c r="BE40" s="1209"/>
    </row>
    <row r="41" spans="1:58" ht="15.75" customHeight="1">
      <c r="A41" s="1202"/>
      <c r="B41" s="2082" t="s">
        <v>2340</v>
      </c>
      <c r="C41" s="2083"/>
      <c r="D41" s="2083"/>
      <c r="E41" s="2083"/>
      <c r="F41" s="2083"/>
      <c r="G41" s="2083"/>
      <c r="H41" s="2083"/>
      <c r="I41" s="2083"/>
      <c r="J41" s="2084"/>
      <c r="K41" s="2084"/>
      <c r="L41" s="2084"/>
      <c r="M41" s="2084"/>
      <c r="N41" s="2084"/>
      <c r="O41" s="2084"/>
      <c r="P41" s="2084"/>
      <c r="Q41" s="2084"/>
      <c r="R41" s="2085"/>
      <c r="S41" s="2085"/>
      <c r="T41" s="2085"/>
      <c r="U41" s="2085"/>
      <c r="V41" s="2085"/>
      <c r="W41" s="2085"/>
      <c r="X41" s="2085"/>
      <c r="Y41" s="2085"/>
      <c r="Z41" s="2085"/>
      <c r="AA41" s="2085"/>
      <c r="AB41" s="2085"/>
      <c r="AC41" s="2085"/>
      <c r="AD41" s="2085"/>
      <c r="AE41" s="2085"/>
      <c r="AF41" s="2085"/>
      <c r="AG41" s="2085"/>
      <c r="AH41" s="2085"/>
      <c r="AI41" s="2085"/>
      <c r="AJ41" s="2085"/>
      <c r="AK41" s="2085"/>
      <c r="AL41" s="2073"/>
      <c r="AM41" s="2074"/>
      <c r="AN41" s="2074"/>
      <c r="AO41" s="2075"/>
      <c r="AP41" s="2073"/>
      <c r="AQ41" s="2074"/>
      <c r="AR41" s="2075"/>
      <c r="AS41" s="2076">
        <f t="shared" si="2"/>
        <v>0</v>
      </c>
      <c r="AT41" s="2077"/>
      <c r="AU41" s="2077"/>
      <c r="AV41" s="2077"/>
      <c r="AW41" s="2077"/>
      <c r="AX41" s="2078"/>
      <c r="AY41" s="2079">
        <f t="shared" si="3"/>
        <v>0</v>
      </c>
      <c r="AZ41" s="2080"/>
      <c r="BA41" s="2080"/>
      <c r="BB41" s="2080"/>
      <c r="BC41" s="2080"/>
      <c r="BD41" s="2081"/>
      <c r="BE41" s="1209"/>
    </row>
    <row r="42" spans="1:58" ht="15.75" customHeight="1">
      <c r="A42" s="1202"/>
      <c r="B42" s="2082" t="s">
        <v>2340</v>
      </c>
      <c r="C42" s="2083"/>
      <c r="D42" s="2083"/>
      <c r="E42" s="2083"/>
      <c r="F42" s="2083"/>
      <c r="G42" s="2083"/>
      <c r="H42" s="2083"/>
      <c r="I42" s="2083"/>
      <c r="J42" s="2084"/>
      <c r="K42" s="2084"/>
      <c r="L42" s="2084"/>
      <c r="M42" s="2084"/>
      <c r="N42" s="2084"/>
      <c r="O42" s="2084"/>
      <c r="P42" s="2084"/>
      <c r="Q42" s="2084"/>
      <c r="R42" s="2085"/>
      <c r="S42" s="2085"/>
      <c r="T42" s="2085"/>
      <c r="U42" s="2085"/>
      <c r="V42" s="2085"/>
      <c r="W42" s="2085"/>
      <c r="X42" s="2085"/>
      <c r="Y42" s="2085"/>
      <c r="Z42" s="2085"/>
      <c r="AA42" s="2085"/>
      <c r="AB42" s="2085"/>
      <c r="AC42" s="2085"/>
      <c r="AD42" s="2085"/>
      <c r="AE42" s="2085"/>
      <c r="AF42" s="2085"/>
      <c r="AG42" s="2085"/>
      <c r="AH42" s="2085"/>
      <c r="AI42" s="2085"/>
      <c r="AJ42" s="2085"/>
      <c r="AK42" s="2085"/>
      <c r="AL42" s="2073"/>
      <c r="AM42" s="2074"/>
      <c r="AN42" s="2074"/>
      <c r="AO42" s="2075"/>
      <c r="AP42" s="2073"/>
      <c r="AQ42" s="2074"/>
      <c r="AR42" s="2075"/>
      <c r="AS42" s="2076">
        <f t="shared" si="2"/>
        <v>0</v>
      </c>
      <c r="AT42" s="2077"/>
      <c r="AU42" s="2077"/>
      <c r="AV42" s="2077"/>
      <c r="AW42" s="2077"/>
      <c r="AX42" s="2078"/>
      <c r="AY42" s="2079">
        <f t="shared" si="3"/>
        <v>0</v>
      </c>
      <c r="AZ42" s="2080"/>
      <c r="BA42" s="2080"/>
      <c r="BB42" s="2080"/>
      <c r="BC42" s="2080"/>
      <c r="BD42" s="2081"/>
      <c r="BE42" s="1209"/>
    </row>
    <row r="43" spans="1:58" ht="15.75" customHeight="1">
      <c r="A43" s="1202"/>
      <c r="B43" s="2086" t="s">
        <v>2339</v>
      </c>
      <c r="C43" s="2087"/>
      <c r="D43" s="2087"/>
      <c r="E43" s="2087"/>
      <c r="F43" s="2087"/>
      <c r="G43" s="2087"/>
      <c r="H43" s="2087"/>
      <c r="I43" s="2087"/>
      <c r="J43" s="2084"/>
      <c r="K43" s="2084"/>
      <c r="L43" s="2084"/>
      <c r="M43" s="2084"/>
      <c r="N43" s="2084"/>
      <c r="O43" s="2084"/>
      <c r="P43" s="2084"/>
      <c r="Q43" s="2084"/>
      <c r="R43" s="2085"/>
      <c r="S43" s="2085"/>
      <c r="T43" s="2085"/>
      <c r="U43" s="2085"/>
      <c r="V43" s="2085"/>
      <c r="W43" s="2085"/>
      <c r="X43" s="2085"/>
      <c r="Y43" s="2085"/>
      <c r="Z43" s="2085"/>
      <c r="AA43" s="2085"/>
      <c r="AB43" s="2085"/>
      <c r="AC43" s="2085"/>
      <c r="AD43" s="2085"/>
      <c r="AE43" s="2085"/>
      <c r="AF43" s="2085"/>
      <c r="AG43" s="2085"/>
      <c r="AH43" s="2085"/>
      <c r="AI43" s="2085"/>
      <c r="AJ43" s="2085"/>
      <c r="AK43" s="2085"/>
      <c r="AL43" s="2073"/>
      <c r="AM43" s="2074"/>
      <c r="AN43" s="2074"/>
      <c r="AO43" s="2075"/>
      <c r="AP43" s="2073"/>
      <c r="AQ43" s="2074"/>
      <c r="AR43" s="2075"/>
      <c r="AS43" s="2076">
        <f t="shared" si="2"/>
        <v>0</v>
      </c>
      <c r="AT43" s="2077"/>
      <c r="AU43" s="2077"/>
      <c r="AV43" s="2077"/>
      <c r="AW43" s="2077"/>
      <c r="AX43" s="2078"/>
      <c r="AY43" s="2079">
        <f t="shared" si="3"/>
        <v>0</v>
      </c>
      <c r="AZ43" s="2080"/>
      <c r="BA43" s="2080"/>
      <c r="BB43" s="2080"/>
      <c r="BC43" s="2080"/>
      <c r="BD43" s="2081"/>
      <c r="BE43" s="1209"/>
    </row>
    <row r="44" spans="1:58" ht="15.75" customHeight="1">
      <c r="A44" s="1202"/>
      <c r="B44" s="2086" t="s">
        <v>2338</v>
      </c>
      <c r="C44" s="2087"/>
      <c r="D44" s="2087"/>
      <c r="E44" s="2087"/>
      <c r="F44" s="2087"/>
      <c r="G44" s="2087"/>
      <c r="H44" s="2087"/>
      <c r="I44" s="2087"/>
      <c r="J44" s="2084"/>
      <c r="K44" s="2084"/>
      <c r="L44" s="2084"/>
      <c r="M44" s="2084"/>
      <c r="N44" s="2084"/>
      <c r="O44" s="2084"/>
      <c r="P44" s="2084"/>
      <c r="Q44" s="2084"/>
      <c r="R44" s="2085"/>
      <c r="S44" s="2085"/>
      <c r="T44" s="2085"/>
      <c r="U44" s="2085"/>
      <c r="V44" s="2085"/>
      <c r="W44" s="2085"/>
      <c r="X44" s="2085"/>
      <c r="Y44" s="2085"/>
      <c r="Z44" s="2085"/>
      <c r="AA44" s="2085"/>
      <c r="AB44" s="2085"/>
      <c r="AC44" s="2085"/>
      <c r="AD44" s="2085"/>
      <c r="AE44" s="2085"/>
      <c r="AF44" s="2085"/>
      <c r="AG44" s="2085"/>
      <c r="AH44" s="2085"/>
      <c r="AI44" s="2085"/>
      <c r="AJ44" s="2085"/>
      <c r="AK44" s="2085"/>
      <c r="AL44" s="2073"/>
      <c r="AM44" s="2074"/>
      <c r="AN44" s="2074"/>
      <c r="AO44" s="2075"/>
      <c r="AP44" s="2073"/>
      <c r="AQ44" s="2074"/>
      <c r="AR44" s="2075"/>
      <c r="AS44" s="2076">
        <f t="shared" si="2"/>
        <v>0</v>
      </c>
      <c r="AT44" s="2077"/>
      <c r="AU44" s="2077"/>
      <c r="AV44" s="2077"/>
      <c r="AW44" s="2077"/>
      <c r="AX44" s="2078"/>
      <c r="AY44" s="2079">
        <f t="shared" si="3"/>
        <v>0</v>
      </c>
      <c r="AZ44" s="2080"/>
      <c r="BA44" s="2080"/>
      <c r="BB44" s="2080"/>
      <c r="BC44" s="2080"/>
      <c r="BD44" s="2081"/>
      <c r="BE44" s="1209"/>
    </row>
    <row r="45" spans="1:58" ht="15.75" customHeight="1">
      <c r="A45" s="1202"/>
      <c r="B45" s="2086" t="s">
        <v>2337</v>
      </c>
      <c r="C45" s="2087"/>
      <c r="D45" s="2087"/>
      <c r="E45" s="2087"/>
      <c r="F45" s="2087"/>
      <c r="G45" s="2087"/>
      <c r="H45" s="2087"/>
      <c r="I45" s="2087"/>
      <c r="J45" s="2084"/>
      <c r="K45" s="2084"/>
      <c r="L45" s="2084"/>
      <c r="M45" s="2084"/>
      <c r="N45" s="2084"/>
      <c r="O45" s="2084"/>
      <c r="P45" s="2084"/>
      <c r="Q45" s="2084"/>
      <c r="R45" s="2085"/>
      <c r="S45" s="2085"/>
      <c r="T45" s="2085"/>
      <c r="U45" s="2085"/>
      <c r="V45" s="2085"/>
      <c r="W45" s="2085"/>
      <c r="X45" s="2085"/>
      <c r="Y45" s="2085"/>
      <c r="Z45" s="2085"/>
      <c r="AA45" s="2085"/>
      <c r="AB45" s="2085"/>
      <c r="AC45" s="2085"/>
      <c r="AD45" s="2085"/>
      <c r="AE45" s="2085"/>
      <c r="AF45" s="2085"/>
      <c r="AG45" s="2085"/>
      <c r="AH45" s="2085"/>
      <c r="AI45" s="2085"/>
      <c r="AJ45" s="2085"/>
      <c r="AK45" s="2085"/>
      <c r="AL45" s="2073"/>
      <c r="AM45" s="2074"/>
      <c r="AN45" s="2074"/>
      <c r="AO45" s="2075"/>
      <c r="AP45" s="2073"/>
      <c r="AQ45" s="2074"/>
      <c r="AR45" s="2075"/>
      <c r="AS45" s="2076">
        <f t="shared" si="2"/>
        <v>0</v>
      </c>
      <c r="AT45" s="2077"/>
      <c r="AU45" s="2077"/>
      <c r="AV45" s="2077"/>
      <c r="AW45" s="2077"/>
      <c r="AX45" s="2078"/>
      <c r="AY45" s="2079">
        <f t="shared" si="3"/>
        <v>0</v>
      </c>
      <c r="AZ45" s="2080"/>
      <c r="BA45" s="2080"/>
      <c r="BB45" s="2080"/>
      <c r="BC45" s="2080"/>
      <c r="BD45" s="2081"/>
      <c r="BE45" s="1209"/>
    </row>
    <row r="46" spans="1:58" ht="15.75" customHeight="1">
      <c r="A46" s="1202"/>
      <c r="B46" s="2086" t="s">
        <v>2269</v>
      </c>
      <c r="C46" s="2087"/>
      <c r="D46" s="2087"/>
      <c r="E46" s="2087"/>
      <c r="F46" s="2087"/>
      <c r="G46" s="2087"/>
      <c r="H46" s="2087"/>
      <c r="I46" s="2087"/>
      <c r="J46" s="2084"/>
      <c r="K46" s="2084"/>
      <c r="L46" s="2084"/>
      <c r="M46" s="2084"/>
      <c r="N46" s="2084">
        <v>99</v>
      </c>
      <c r="O46" s="2084"/>
      <c r="P46" s="2084"/>
      <c r="Q46" s="2084"/>
      <c r="R46" s="2085"/>
      <c r="S46" s="2085"/>
      <c r="T46" s="2085"/>
      <c r="U46" s="2085"/>
      <c r="V46" s="2085"/>
      <c r="W46" s="2085"/>
      <c r="X46" s="2085"/>
      <c r="Y46" s="2085"/>
      <c r="Z46" s="2085"/>
      <c r="AA46" s="2085"/>
      <c r="AB46" s="2085"/>
      <c r="AC46" s="2085"/>
      <c r="AD46" s="2085"/>
      <c r="AE46" s="2085"/>
      <c r="AF46" s="2085"/>
      <c r="AG46" s="2085"/>
      <c r="AH46" s="2085"/>
      <c r="AI46" s="2085"/>
      <c r="AJ46" s="2085"/>
      <c r="AK46" s="2085"/>
      <c r="AL46" s="2073"/>
      <c r="AM46" s="2074"/>
      <c r="AN46" s="2074"/>
      <c r="AO46" s="2075"/>
      <c r="AP46" s="2073"/>
      <c r="AQ46" s="2074"/>
      <c r="AR46" s="2075"/>
      <c r="AS46" s="2076">
        <f t="shared" si="2"/>
        <v>0</v>
      </c>
      <c r="AT46" s="2077"/>
      <c r="AU46" s="2077"/>
      <c r="AV46" s="2077"/>
      <c r="AW46" s="2077"/>
      <c r="AX46" s="2078"/>
      <c r="AY46" s="2079">
        <f t="shared" si="3"/>
        <v>0</v>
      </c>
      <c r="AZ46" s="2080"/>
      <c r="BA46" s="2080"/>
      <c r="BB46" s="2080"/>
      <c r="BC46" s="2080"/>
      <c r="BD46" s="2081"/>
      <c r="BE46" s="1209"/>
    </row>
    <row r="47" spans="1:58" ht="15.75" customHeight="1" thickBot="1">
      <c r="A47" s="1202"/>
      <c r="B47" s="2088" t="s">
        <v>300</v>
      </c>
      <c r="C47" s="2089"/>
      <c r="D47" s="2089"/>
      <c r="E47" s="2089"/>
      <c r="F47" s="2089"/>
      <c r="G47" s="2089"/>
      <c r="H47" s="2089"/>
      <c r="I47" s="2089"/>
      <c r="J47" s="2090"/>
      <c r="K47" s="2090"/>
      <c r="L47" s="2090"/>
      <c r="M47" s="2090"/>
      <c r="N47" s="2090"/>
      <c r="O47" s="2090"/>
      <c r="P47" s="2090"/>
      <c r="Q47" s="2090"/>
      <c r="R47" s="2091"/>
      <c r="S47" s="2091"/>
      <c r="T47" s="2091"/>
      <c r="U47" s="2091"/>
      <c r="V47" s="2091"/>
      <c r="W47" s="2091"/>
      <c r="X47" s="2091"/>
      <c r="Y47" s="2091"/>
      <c r="Z47" s="2091"/>
      <c r="AA47" s="2091"/>
      <c r="AB47" s="2091"/>
      <c r="AC47" s="2091"/>
      <c r="AD47" s="2091"/>
      <c r="AE47" s="2091"/>
      <c r="AF47" s="2091"/>
      <c r="AG47" s="2091"/>
      <c r="AH47" s="2091"/>
      <c r="AI47" s="2091"/>
      <c r="AJ47" s="2091"/>
      <c r="AK47" s="2091"/>
      <c r="AL47" s="2095"/>
      <c r="AM47" s="2096"/>
      <c r="AN47" s="2096"/>
      <c r="AO47" s="2097"/>
      <c r="AP47" s="2095"/>
      <c r="AQ47" s="2096"/>
      <c r="AR47" s="2097"/>
      <c r="AS47" s="2076">
        <f t="shared" si="2"/>
        <v>0</v>
      </c>
      <c r="AT47" s="2077"/>
      <c r="AU47" s="2077"/>
      <c r="AV47" s="2077"/>
      <c r="AW47" s="2077"/>
      <c r="AX47" s="2078"/>
      <c r="AY47" s="2092">
        <f t="shared" si="3"/>
        <v>0</v>
      </c>
      <c r="AZ47" s="2093"/>
      <c r="BA47" s="2093"/>
      <c r="BB47" s="2093"/>
      <c r="BC47" s="2093"/>
      <c r="BD47" s="2094"/>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8" t="s">
        <v>2334</v>
      </c>
      <c r="C50" s="2099"/>
      <c r="D50" s="2099"/>
      <c r="E50" s="2099"/>
      <c r="F50" s="2099"/>
      <c r="G50" s="2099"/>
      <c r="H50" s="2099"/>
      <c r="I50" s="2099"/>
      <c r="J50" s="2099"/>
      <c r="K50" s="2099"/>
      <c r="L50" s="2099"/>
      <c r="M50" s="2099"/>
      <c r="N50" s="2099"/>
      <c r="O50" s="2099"/>
      <c r="P50" s="2099"/>
      <c r="Q50" s="2099"/>
      <c r="R50" s="2099"/>
      <c r="S50" s="2099"/>
      <c r="T50" s="2099"/>
      <c r="U50" s="2099"/>
      <c r="V50" s="2099"/>
      <c r="W50" s="2099"/>
      <c r="X50" s="2099"/>
      <c r="Y50" s="2099"/>
      <c r="Z50" s="2099"/>
      <c r="AA50" s="2099"/>
      <c r="AB50" s="2099"/>
      <c r="AC50" s="2099"/>
      <c r="AD50" s="2099"/>
      <c r="AE50" s="2099"/>
      <c r="AF50" s="2099"/>
      <c r="AG50" s="2099"/>
      <c r="AH50" s="2099"/>
      <c r="AI50" s="2099"/>
      <c r="AJ50" s="2099"/>
      <c r="AK50" s="2099"/>
      <c r="AL50" s="2099"/>
      <c r="AM50" s="2099"/>
      <c r="AN50" s="2099"/>
      <c r="AO50" s="2100"/>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01" t="s">
        <v>2327</v>
      </c>
      <c r="C51" s="2102"/>
      <c r="D51" s="2102"/>
      <c r="E51" s="2102"/>
      <c r="F51" s="2102"/>
      <c r="G51" s="2102"/>
      <c r="H51" s="2102"/>
      <c r="I51" s="2102"/>
      <c r="J51" s="2102" t="s">
        <v>2333</v>
      </c>
      <c r="K51" s="2102"/>
      <c r="L51" s="2102"/>
      <c r="M51" s="2102"/>
      <c r="N51" s="2102"/>
      <c r="O51" s="2102"/>
      <c r="P51" s="2102"/>
      <c r="Q51" s="2102"/>
      <c r="R51" s="2103" t="s">
        <v>2332</v>
      </c>
      <c r="S51" s="2103"/>
      <c r="T51" s="2103"/>
      <c r="U51" s="2103"/>
      <c r="V51" s="2103"/>
      <c r="W51" s="2103"/>
      <c r="X51" s="2103"/>
      <c r="Y51" s="2103"/>
      <c r="Z51" s="2103" t="s">
        <v>2331</v>
      </c>
      <c r="AA51" s="2103"/>
      <c r="AB51" s="2103"/>
      <c r="AC51" s="2103"/>
      <c r="AD51" s="2103"/>
      <c r="AE51" s="2103"/>
      <c r="AF51" s="2103"/>
      <c r="AG51" s="2103"/>
      <c r="AH51" s="2103" t="s">
        <v>2330</v>
      </c>
      <c r="AI51" s="2103"/>
      <c r="AJ51" s="2103"/>
      <c r="AK51" s="2103"/>
      <c r="AL51" s="2103"/>
      <c r="AM51" s="2103"/>
      <c r="AN51" s="2103"/>
      <c r="AO51" s="2104"/>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86" t="s">
        <v>2329</v>
      </c>
      <c r="C52" s="2087"/>
      <c r="D52" s="2087"/>
      <c r="E52" s="2087"/>
      <c r="F52" s="2087"/>
      <c r="G52" s="2087"/>
      <c r="H52" s="2087"/>
      <c r="I52" s="2087"/>
      <c r="J52" s="2105">
        <v>0</v>
      </c>
      <c r="K52" s="2105"/>
      <c r="L52" s="2105"/>
      <c r="M52" s="2105"/>
      <c r="N52" s="2105"/>
      <c r="O52" s="2105"/>
      <c r="P52" s="2105"/>
      <c r="Q52" s="2105"/>
      <c r="R52" s="2106">
        <v>0</v>
      </c>
      <c r="S52" s="2106"/>
      <c r="T52" s="2106"/>
      <c r="U52" s="2106"/>
      <c r="V52" s="2106"/>
      <c r="W52" s="2106"/>
      <c r="X52" s="2106"/>
      <c r="Y52" s="2106"/>
      <c r="Z52" s="2107">
        <v>0</v>
      </c>
      <c r="AA52" s="2107"/>
      <c r="AB52" s="2107"/>
      <c r="AC52" s="2107"/>
      <c r="AD52" s="2107"/>
      <c r="AE52" s="2107"/>
      <c r="AF52" s="2107"/>
      <c r="AG52" s="2107"/>
      <c r="AH52" s="2108"/>
      <c r="AI52" s="2108"/>
      <c r="AJ52" s="2108"/>
      <c r="AK52" s="2108"/>
      <c r="AL52" s="2108"/>
      <c r="AM52" s="2108"/>
      <c r="AN52" s="2108"/>
      <c r="AO52" s="2109"/>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86" t="s">
        <v>2328</v>
      </c>
      <c r="C53" s="2087"/>
      <c r="D53" s="2087"/>
      <c r="E53" s="2087"/>
      <c r="F53" s="2087"/>
      <c r="G53" s="2087"/>
      <c r="H53" s="2087"/>
      <c r="I53" s="2087"/>
      <c r="J53" s="2105">
        <v>0</v>
      </c>
      <c r="K53" s="2105"/>
      <c r="L53" s="2105"/>
      <c r="M53" s="2105"/>
      <c r="N53" s="2105"/>
      <c r="O53" s="2105"/>
      <c r="P53" s="2105"/>
      <c r="Q53" s="2105"/>
      <c r="R53" s="2106">
        <v>0</v>
      </c>
      <c r="S53" s="2106"/>
      <c r="T53" s="2106"/>
      <c r="U53" s="2106"/>
      <c r="V53" s="2106"/>
      <c r="W53" s="2106"/>
      <c r="X53" s="2106"/>
      <c r="Y53" s="2106"/>
      <c r="Z53" s="2107">
        <v>0</v>
      </c>
      <c r="AA53" s="2107"/>
      <c r="AB53" s="2107"/>
      <c r="AC53" s="2107"/>
      <c r="AD53" s="2107"/>
      <c r="AE53" s="2107"/>
      <c r="AF53" s="2107"/>
      <c r="AG53" s="2107"/>
      <c r="AH53" s="2108"/>
      <c r="AI53" s="2108"/>
      <c r="AJ53" s="2108"/>
      <c r="AK53" s="2108"/>
      <c r="AL53" s="2108"/>
      <c r="AM53" s="2108"/>
      <c r="AN53" s="2108"/>
      <c r="AO53" s="2109"/>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86"/>
      <c r="C54" s="2087"/>
      <c r="D54" s="2087"/>
      <c r="E54" s="2087"/>
      <c r="F54" s="2087"/>
      <c r="G54" s="2087"/>
      <c r="H54" s="2087"/>
      <c r="I54" s="2087"/>
      <c r="J54" s="2105"/>
      <c r="K54" s="2105"/>
      <c r="L54" s="2105"/>
      <c r="M54" s="2105"/>
      <c r="N54" s="2105"/>
      <c r="O54" s="2105"/>
      <c r="P54" s="2105"/>
      <c r="Q54" s="2105"/>
      <c r="R54" s="2106"/>
      <c r="S54" s="2106"/>
      <c r="T54" s="2106"/>
      <c r="U54" s="2106"/>
      <c r="V54" s="2106"/>
      <c r="W54" s="2106"/>
      <c r="X54" s="2106"/>
      <c r="Y54" s="2106"/>
      <c r="Z54" s="2107"/>
      <c r="AA54" s="2107"/>
      <c r="AB54" s="2107"/>
      <c r="AC54" s="2107"/>
      <c r="AD54" s="2107"/>
      <c r="AE54" s="2107"/>
      <c r="AF54" s="2107"/>
      <c r="AG54" s="2107"/>
      <c r="AH54" s="2108"/>
      <c r="AI54" s="2108"/>
      <c r="AJ54" s="2108"/>
      <c r="AK54" s="2108"/>
      <c r="AL54" s="2108"/>
      <c r="AM54" s="2108"/>
      <c r="AN54" s="2108"/>
      <c r="AO54" s="2109"/>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86"/>
      <c r="C55" s="2087"/>
      <c r="D55" s="2087"/>
      <c r="E55" s="2087"/>
      <c r="F55" s="2087"/>
      <c r="G55" s="2087"/>
      <c r="H55" s="2087"/>
      <c r="I55" s="2087"/>
      <c r="J55" s="2105"/>
      <c r="K55" s="2105"/>
      <c r="L55" s="2105"/>
      <c r="M55" s="2105"/>
      <c r="N55" s="2105"/>
      <c r="O55" s="2105"/>
      <c r="P55" s="2105"/>
      <c r="Q55" s="2105"/>
      <c r="R55" s="2106"/>
      <c r="S55" s="2106"/>
      <c r="T55" s="2106"/>
      <c r="U55" s="2106"/>
      <c r="V55" s="2106"/>
      <c r="W55" s="2106"/>
      <c r="X55" s="2106"/>
      <c r="Y55" s="2106"/>
      <c r="Z55" s="2107"/>
      <c r="AA55" s="2107"/>
      <c r="AB55" s="2107"/>
      <c r="AC55" s="2107"/>
      <c r="AD55" s="2107"/>
      <c r="AE55" s="2107"/>
      <c r="AF55" s="2107"/>
      <c r="AG55" s="2107"/>
      <c r="AH55" s="2108"/>
      <c r="AI55" s="2108"/>
      <c r="AJ55" s="2108"/>
      <c r="AK55" s="2108"/>
      <c r="AL55" s="2108"/>
      <c r="AM55" s="2108"/>
      <c r="AN55" s="2108"/>
      <c r="AO55" s="2109"/>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086"/>
      <c r="C56" s="2087"/>
      <c r="D56" s="2087"/>
      <c r="E56" s="2087"/>
      <c r="F56" s="2087"/>
      <c r="G56" s="2087"/>
      <c r="H56" s="2087"/>
      <c r="I56" s="2087"/>
      <c r="J56" s="2105"/>
      <c r="K56" s="2105"/>
      <c r="L56" s="2105"/>
      <c r="M56" s="2105"/>
      <c r="N56" s="2105"/>
      <c r="O56" s="2105"/>
      <c r="P56" s="2105"/>
      <c r="Q56" s="2105"/>
      <c r="R56" s="2106"/>
      <c r="S56" s="2106"/>
      <c r="T56" s="2106"/>
      <c r="U56" s="2106"/>
      <c r="V56" s="2106"/>
      <c r="W56" s="2106"/>
      <c r="X56" s="2106"/>
      <c r="Y56" s="2106"/>
      <c r="Z56" s="2107"/>
      <c r="AA56" s="2107"/>
      <c r="AB56" s="2107"/>
      <c r="AC56" s="2107"/>
      <c r="AD56" s="2107"/>
      <c r="AE56" s="2107"/>
      <c r="AF56" s="2107"/>
      <c r="AG56" s="2107"/>
      <c r="AH56" s="2108"/>
      <c r="AI56" s="2108"/>
      <c r="AJ56" s="2108"/>
      <c r="AK56" s="2108"/>
      <c r="AL56" s="2108"/>
      <c r="AM56" s="2108"/>
      <c r="AN56" s="2108"/>
      <c r="AO56" s="2109"/>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19" t="s">
        <v>1572</v>
      </c>
      <c r="C57" s="2120"/>
      <c r="D57" s="2120"/>
      <c r="E57" s="2120"/>
      <c r="F57" s="2120"/>
      <c r="G57" s="2120"/>
      <c r="H57" s="2120"/>
      <c r="I57" s="2120"/>
      <c r="J57" s="2120"/>
      <c r="K57" s="2120"/>
      <c r="L57" s="2120"/>
      <c r="M57" s="2120"/>
      <c r="N57" s="2120"/>
      <c r="O57" s="2120"/>
      <c r="P57" s="2120"/>
      <c r="Q57" s="2120"/>
      <c r="R57" s="2121">
        <f>SUM(R52:Y56)</f>
        <v>0</v>
      </c>
      <c r="S57" s="2121"/>
      <c r="T57" s="2121"/>
      <c r="U57" s="2121"/>
      <c r="V57" s="2121"/>
      <c r="W57" s="2121"/>
      <c r="X57" s="2121"/>
      <c r="Y57" s="2121"/>
      <c r="Z57" s="2122">
        <f>SUM(Z52:AG56)</f>
        <v>0</v>
      </c>
      <c r="AA57" s="2122"/>
      <c r="AB57" s="2122"/>
      <c r="AC57" s="2122"/>
      <c r="AD57" s="2122"/>
      <c r="AE57" s="2122"/>
      <c r="AF57" s="2122"/>
      <c r="AG57" s="2122"/>
      <c r="AH57" s="2123"/>
      <c r="AI57" s="2123"/>
      <c r="AJ57" s="2123"/>
      <c r="AK57" s="2123"/>
      <c r="AL57" s="2123"/>
      <c r="AM57" s="2123"/>
      <c r="AN57" s="2123"/>
      <c r="AO57" s="2124"/>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110" t="s">
        <v>2327</v>
      </c>
      <c r="C59" s="2111"/>
      <c r="D59" s="2111"/>
      <c r="E59" s="2111"/>
      <c r="F59" s="2111"/>
      <c r="G59" s="2111"/>
      <c r="H59" s="2111"/>
      <c r="I59" s="2112"/>
      <c r="J59" s="2004" t="s">
        <v>2326</v>
      </c>
      <c r="K59" s="2004"/>
      <c r="L59" s="2004"/>
      <c r="M59" s="2004"/>
      <c r="N59" s="2004"/>
      <c r="O59" s="2004"/>
      <c r="P59" s="2004"/>
      <c r="Q59" s="2004"/>
      <c r="R59" s="2004"/>
      <c r="S59" s="2004"/>
      <c r="T59" s="2004"/>
      <c r="U59" s="2004"/>
      <c r="V59" s="2004"/>
      <c r="W59" s="2004"/>
      <c r="X59" s="2004"/>
      <c r="Y59" s="2004"/>
      <c r="Z59" s="2004"/>
      <c r="AA59" s="2004"/>
      <c r="AB59" s="2004"/>
      <c r="AC59" s="2004"/>
      <c r="AD59" s="2004"/>
      <c r="AE59" s="2004"/>
      <c r="AF59" s="2004"/>
      <c r="AG59" s="2004"/>
      <c r="AH59" s="2004"/>
      <c r="AI59" s="2004"/>
      <c r="AJ59" s="2004"/>
      <c r="AK59" s="2004"/>
      <c r="AL59" s="2004"/>
      <c r="AM59" s="2004"/>
      <c r="AN59" s="2004"/>
      <c r="AO59" s="2004"/>
      <c r="AP59" s="2004"/>
      <c r="AQ59" s="2004"/>
      <c r="AR59" s="2004"/>
      <c r="AS59" s="2004"/>
      <c r="AT59" s="2004"/>
      <c r="AU59" s="2004"/>
      <c r="AV59" s="2004"/>
      <c r="AW59" s="2005"/>
      <c r="AX59" s="1202"/>
      <c r="AY59" s="1202"/>
      <c r="AZ59" s="1202"/>
      <c r="BA59" s="1202"/>
      <c r="BB59" s="1202"/>
      <c r="BC59" s="1202"/>
      <c r="BD59" s="1202"/>
      <c r="BE59" s="1209"/>
    </row>
    <row r="60" spans="1:77" ht="15.75" customHeight="1">
      <c r="A60" s="1202"/>
      <c r="B60" s="2113" t="str">
        <f>IF(B52="", "", B52)</f>
        <v>Services Company 1</v>
      </c>
      <c r="C60" s="2114"/>
      <c r="D60" s="2114"/>
      <c r="E60" s="2114"/>
      <c r="F60" s="2114"/>
      <c r="G60" s="2114"/>
      <c r="H60" s="2114"/>
      <c r="I60" s="2115"/>
      <c r="J60" s="2116"/>
      <c r="K60" s="2117"/>
      <c r="L60" s="2117"/>
      <c r="M60" s="2117"/>
      <c r="N60" s="2117"/>
      <c r="O60" s="2117"/>
      <c r="P60" s="2117"/>
      <c r="Q60" s="2117"/>
      <c r="R60" s="2117"/>
      <c r="S60" s="2117"/>
      <c r="T60" s="2117"/>
      <c r="U60" s="2117"/>
      <c r="V60" s="2117"/>
      <c r="W60" s="2117"/>
      <c r="X60" s="2117"/>
      <c r="Y60" s="2117"/>
      <c r="Z60" s="2117"/>
      <c r="AA60" s="2117"/>
      <c r="AB60" s="2117"/>
      <c r="AC60" s="2117"/>
      <c r="AD60" s="2117"/>
      <c r="AE60" s="2117"/>
      <c r="AF60" s="2117"/>
      <c r="AG60" s="2117"/>
      <c r="AH60" s="2117"/>
      <c r="AI60" s="2117"/>
      <c r="AJ60" s="2117"/>
      <c r="AK60" s="2117"/>
      <c r="AL60" s="2117"/>
      <c r="AM60" s="2117"/>
      <c r="AN60" s="2117"/>
      <c r="AO60" s="2117"/>
      <c r="AP60" s="2117"/>
      <c r="AQ60" s="2117"/>
      <c r="AR60" s="2117"/>
      <c r="AS60" s="2117"/>
      <c r="AT60" s="2117"/>
      <c r="AU60" s="2117"/>
      <c r="AV60" s="2117"/>
      <c r="AW60" s="2118"/>
      <c r="AX60" s="1202"/>
      <c r="AY60" s="1202"/>
      <c r="AZ60" s="1202"/>
      <c r="BA60" s="1202"/>
      <c r="BB60" s="1202"/>
      <c r="BC60" s="1202"/>
      <c r="BD60" s="1202"/>
      <c r="BE60" s="1209"/>
    </row>
    <row r="61" spans="1:77" ht="15.75" customHeight="1">
      <c r="A61" s="1202"/>
      <c r="B61" s="2113" t="str">
        <f>IF(B53="", "", B53)</f>
        <v>Services Company 2</v>
      </c>
      <c r="C61" s="2114"/>
      <c r="D61" s="2114"/>
      <c r="E61" s="2114"/>
      <c r="F61" s="2114"/>
      <c r="G61" s="2114"/>
      <c r="H61" s="2114"/>
      <c r="I61" s="2115"/>
      <c r="J61" s="2116"/>
      <c r="K61" s="2117"/>
      <c r="L61" s="2117"/>
      <c r="M61" s="2117"/>
      <c r="N61" s="2117"/>
      <c r="O61" s="2117"/>
      <c r="P61" s="2117"/>
      <c r="Q61" s="2117"/>
      <c r="R61" s="2117"/>
      <c r="S61" s="2117"/>
      <c r="T61" s="2117"/>
      <c r="U61" s="2117"/>
      <c r="V61" s="2117"/>
      <c r="W61" s="2117"/>
      <c r="X61" s="2117"/>
      <c r="Y61" s="2117"/>
      <c r="Z61" s="2117"/>
      <c r="AA61" s="2117"/>
      <c r="AB61" s="2117"/>
      <c r="AC61" s="2117"/>
      <c r="AD61" s="2117"/>
      <c r="AE61" s="2117"/>
      <c r="AF61" s="2117"/>
      <c r="AG61" s="2117"/>
      <c r="AH61" s="2117"/>
      <c r="AI61" s="2117"/>
      <c r="AJ61" s="2117"/>
      <c r="AK61" s="2117"/>
      <c r="AL61" s="2117"/>
      <c r="AM61" s="2117"/>
      <c r="AN61" s="2117"/>
      <c r="AO61" s="2117"/>
      <c r="AP61" s="2117"/>
      <c r="AQ61" s="2117"/>
      <c r="AR61" s="2117"/>
      <c r="AS61" s="2117"/>
      <c r="AT61" s="2117"/>
      <c r="AU61" s="2117"/>
      <c r="AV61" s="2117"/>
      <c r="AW61" s="2118"/>
      <c r="AX61" s="1202"/>
      <c r="AY61" s="1202"/>
      <c r="AZ61" s="1202"/>
      <c r="BA61" s="1202"/>
      <c r="BB61" s="1202"/>
      <c r="BC61" s="1202"/>
      <c r="BD61" s="1202"/>
      <c r="BE61" s="1209"/>
    </row>
    <row r="62" spans="1:77" ht="15.75" customHeight="1">
      <c r="A62" s="1202"/>
      <c r="B62" s="2113" t="str">
        <f>IF(B54="", "", B54)</f>
        <v/>
      </c>
      <c r="C62" s="2114"/>
      <c r="D62" s="2114"/>
      <c r="E62" s="2114"/>
      <c r="F62" s="2114"/>
      <c r="G62" s="2114"/>
      <c r="H62" s="2114"/>
      <c r="I62" s="2115"/>
      <c r="J62" s="2116"/>
      <c r="K62" s="2117"/>
      <c r="L62" s="2117"/>
      <c r="M62" s="2117"/>
      <c r="N62" s="2117"/>
      <c r="O62" s="2117"/>
      <c r="P62" s="2117"/>
      <c r="Q62" s="2117"/>
      <c r="R62" s="2117"/>
      <c r="S62" s="2117"/>
      <c r="T62" s="2117"/>
      <c r="U62" s="2117"/>
      <c r="V62" s="2117"/>
      <c r="W62" s="2117"/>
      <c r="X62" s="2117"/>
      <c r="Y62" s="2117"/>
      <c r="Z62" s="2117"/>
      <c r="AA62" s="2117"/>
      <c r="AB62" s="2117"/>
      <c r="AC62" s="2117"/>
      <c r="AD62" s="2117"/>
      <c r="AE62" s="2117"/>
      <c r="AF62" s="2117"/>
      <c r="AG62" s="2117"/>
      <c r="AH62" s="2117"/>
      <c r="AI62" s="2117"/>
      <c r="AJ62" s="2117"/>
      <c r="AK62" s="2117"/>
      <c r="AL62" s="2117"/>
      <c r="AM62" s="2117"/>
      <c r="AN62" s="2117"/>
      <c r="AO62" s="2117"/>
      <c r="AP62" s="2117"/>
      <c r="AQ62" s="2117"/>
      <c r="AR62" s="2117"/>
      <c r="AS62" s="2117"/>
      <c r="AT62" s="2117"/>
      <c r="AU62" s="2117"/>
      <c r="AV62" s="2117"/>
      <c r="AW62" s="2118"/>
      <c r="AX62" s="1202"/>
      <c r="AY62" s="1202"/>
      <c r="AZ62" s="1202"/>
      <c r="BA62" s="1202"/>
      <c r="BB62" s="1202"/>
      <c r="BC62" s="1202"/>
      <c r="BD62" s="1202"/>
      <c r="BE62" s="1209"/>
    </row>
    <row r="63" spans="1:77" ht="15.75" customHeight="1">
      <c r="A63" s="1202"/>
      <c r="B63" s="2113" t="str">
        <f>IF(B55="", "", B55)</f>
        <v/>
      </c>
      <c r="C63" s="2114"/>
      <c r="D63" s="2114"/>
      <c r="E63" s="2114"/>
      <c r="F63" s="2114"/>
      <c r="G63" s="2114"/>
      <c r="H63" s="2114"/>
      <c r="I63" s="2115"/>
      <c r="J63" s="2116"/>
      <c r="K63" s="2117"/>
      <c r="L63" s="2117"/>
      <c r="M63" s="2117"/>
      <c r="N63" s="2117"/>
      <c r="O63" s="2117"/>
      <c r="P63" s="2117"/>
      <c r="Q63" s="2117"/>
      <c r="R63" s="2117"/>
      <c r="S63" s="2117"/>
      <c r="T63" s="2117"/>
      <c r="U63" s="2117"/>
      <c r="V63" s="2117"/>
      <c r="W63" s="2117"/>
      <c r="X63" s="2117"/>
      <c r="Y63" s="2117"/>
      <c r="Z63" s="2117"/>
      <c r="AA63" s="2117"/>
      <c r="AB63" s="2117"/>
      <c r="AC63" s="2117"/>
      <c r="AD63" s="2117"/>
      <c r="AE63" s="2117"/>
      <c r="AF63" s="2117"/>
      <c r="AG63" s="2117"/>
      <c r="AH63" s="2117"/>
      <c r="AI63" s="2117"/>
      <c r="AJ63" s="2117"/>
      <c r="AK63" s="2117"/>
      <c r="AL63" s="2117"/>
      <c r="AM63" s="2117"/>
      <c r="AN63" s="2117"/>
      <c r="AO63" s="2117"/>
      <c r="AP63" s="2117"/>
      <c r="AQ63" s="2117"/>
      <c r="AR63" s="2117"/>
      <c r="AS63" s="2117"/>
      <c r="AT63" s="2117"/>
      <c r="AU63" s="2117"/>
      <c r="AV63" s="2117"/>
      <c r="AW63" s="2118"/>
      <c r="AX63" s="1202"/>
      <c r="AY63" s="1202"/>
      <c r="AZ63" s="1202"/>
      <c r="BA63" s="1202"/>
      <c r="BB63" s="1202"/>
      <c r="BC63" s="1202"/>
      <c r="BD63" s="1202"/>
      <c r="BE63" s="1209"/>
    </row>
    <row r="64" spans="1:77" ht="15.75" customHeight="1" thickBot="1">
      <c r="A64" s="1202"/>
      <c r="B64" s="2133" t="str">
        <f>IF(B56="", "", B56)</f>
        <v/>
      </c>
      <c r="C64" s="2134"/>
      <c r="D64" s="2134"/>
      <c r="E64" s="2134"/>
      <c r="F64" s="2134"/>
      <c r="G64" s="2134"/>
      <c r="H64" s="2134"/>
      <c r="I64" s="2135"/>
      <c r="J64" s="2136"/>
      <c r="K64" s="2137"/>
      <c r="L64" s="2137"/>
      <c r="M64" s="2137"/>
      <c r="N64" s="2137"/>
      <c r="O64" s="2137"/>
      <c r="P64" s="2137"/>
      <c r="Q64" s="2137"/>
      <c r="R64" s="2137"/>
      <c r="S64" s="2137"/>
      <c r="T64" s="2137"/>
      <c r="U64" s="2137"/>
      <c r="V64" s="2137"/>
      <c r="W64" s="2137"/>
      <c r="X64" s="2137"/>
      <c r="Y64" s="2137"/>
      <c r="Z64" s="2137"/>
      <c r="AA64" s="2137"/>
      <c r="AB64" s="2137"/>
      <c r="AC64" s="2137"/>
      <c r="AD64" s="2137"/>
      <c r="AE64" s="2137"/>
      <c r="AF64" s="2137"/>
      <c r="AG64" s="2137"/>
      <c r="AH64" s="2137"/>
      <c r="AI64" s="2137"/>
      <c r="AJ64" s="2137"/>
      <c r="AK64" s="2137"/>
      <c r="AL64" s="2137"/>
      <c r="AM64" s="2137"/>
      <c r="AN64" s="2137"/>
      <c r="AO64" s="2137"/>
      <c r="AP64" s="2137"/>
      <c r="AQ64" s="2137"/>
      <c r="AR64" s="2137"/>
      <c r="AS64" s="2137"/>
      <c r="AT64" s="2137"/>
      <c r="AU64" s="2137"/>
      <c r="AV64" s="2137"/>
      <c r="AW64" s="2138"/>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003" t="s">
        <v>2324</v>
      </c>
      <c r="C68" s="2004"/>
      <c r="D68" s="2004"/>
      <c r="E68" s="2004"/>
      <c r="F68" s="2004"/>
      <c r="G68" s="2004"/>
      <c r="H68" s="2004"/>
      <c r="I68" s="2004"/>
      <c r="J68" s="2004"/>
      <c r="K68" s="2004"/>
      <c r="L68" s="2004"/>
      <c r="M68" s="2004"/>
      <c r="N68" s="2004"/>
      <c r="O68" s="2004"/>
      <c r="P68" s="2004"/>
      <c r="Q68" s="2004"/>
      <c r="R68" s="2004"/>
      <c r="S68" s="2004"/>
      <c r="T68" s="2004"/>
      <c r="U68" s="2004"/>
      <c r="V68" s="2004"/>
      <c r="W68" s="2004"/>
      <c r="X68" s="2004"/>
      <c r="Y68" s="2004"/>
      <c r="Z68" s="2004"/>
      <c r="AA68" s="2005"/>
      <c r="AB68" s="1202"/>
      <c r="AC68" s="2145" t="s">
        <v>2323</v>
      </c>
      <c r="AD68" s="2146"/>
      <c r="AE68" s="2146"/>
      <c r="AF68" s="2146"/>
      <c r="AG68" s="2146"/>
      <c r="AH68" s="2146"/>
      <c r="AI68" s="2146"/>
      <c r="AJ68" s="2146"/>
      <c r="AK68" s="2146"/>
      <c r="AL68" s="2146"/>
      <c r="AM68" s="2146"/>
      <c r="AN68" s="2146"/>
      <c r="AO68" s="2146"/>
      <c r="AP68" s="2146"/>
      <c r="AQ68" s="2146"/>
      <c r="AR68" s="2146"/>
      <c r="AS68" s="2146"/>
      <c r="AT68" s="2146"/>
      <c r="AU68" s="2146"/>
      <c r="AV68" s="2125" t="s">
        <v>667</v>
      </c>
      <c r="AW68" s="2126"/>
      <c r="AX68" s="2126"/>
      <c r="AY68" s="2126"/>
      <c r="AZ68" s="2126"/>
      <c r="BA68" s="2126"/>
      <c r="BB68" s="2126"/>
      <c r="BC68" s="2127"/>
      <c r="BD68" s="1202"/>
      <c r="BE68" s="1209"/>
      <c r="BM68" s="1215" t="s">
        <v>2322</v>
      </c>
    </row>
    <row r="69" spans="1:94" ht="15.75" customHeight="1" thickTop="1" thickBot="1">
      <c r="A69" s="1202"/>
      <c r="B69" s="2128" t="s">
        <v>2321</v>
      </c>
      <c r="C69" s="2129"/>
      <c r="D69" s="2129"/>
      <c r="E69" s="2129"/>
      <c r="F69" s="2129"/>
      <c r="G69" s="2129"/>
      <c r="H69" s="2129"/>
      <c r="I69" s="2129"/>
      <c r="J69" s="2129"/>
      <c r="K69" s="2129"/>
      <c r="L69" s="2129"/>
      <c r="M69" s="2129"/>
      <c r="N69" s="2129"/>
      <c r="O69" s="1976" t="s">
        <v>2320</v>
      </c>
      <c r="P69" s="1977"/>
      <c r="Q69" s="1977"/>
      <c r="R69" s="1977"/>
      <c r="S69" s="1977"/>
      <c r="T69" s="1977"/>
      <c r="U69" s="1977"/>
      <c r="V69" s="1977"/>
      <c r="W69" s="1977"/>
      <c r="X69" s="1977"/>
      <c r="Y69" s="1977"/>
      <c r="Z69" s="1977"/>
      <c r="AA69" s="2130"/>
      <c r="AB69" s="1202"/>
      <c r="AC69" s="2131" t="s">
        <v>2319</v>
      </c>
      <c r="AD69" s="2132"/>
      <c r="AE69" s="2132"/>
      <c r="AF69" s="2132"/>
      <c r="AG69" s="2132"/>
      <c r="AH69" s="2132"/>
      <c r="AI69" s="2132"/>
      <c r="AJ69" s="2132"/>
      <c r="AK69" s="2132"/>
      <c r="AL69" s="2132"/>
      <c r="AM69" s="2132"/>
      <c r="AN69" s="2132"/>
      <c r="AO69" s="2132"/>
      <c r="AP69" s="2132"/>
      <c r="AQ69" s="2132"/>
      <c r="AR69" s="2132"/>
      <c r="AS69" s="2132"/>
      <c r="AT69" s="2132"/>
      <c r="AU69" s="2132"/>
      <c r="AV69" s="2125" t="s">
        <v>667</v>
      </c>
      <c r="AW69" s="2126"/>
      <c r="AX69" s="2126"/>
      <c r="AY69" s="2126"/>
      <c r="AZ69" s="2126"/>
      <c r="BA69" s="2126"/>
      <c r="BB69" s="2126"/>
      <c r="BC69" s="2127"/>
      <c r="BD69" s="1202"/>
      <c r="BE69" s="1209"/>
      <c r="BM69" s="1216" t="s">
        <v>543</v>
      </c>
    </row>
    <row r="70" spans="1:94" ht="15.75" customHeight="1">
      <c r="A70" s="1202"/>
      <c r="B70" s="2082" t="s">
        <v>2318</v>
      </c>
      <c r="C70" s="2083"/>
      <c r="D70" s="2083"/>
      <c r="E70" s="2083"/>
      <c r="F70" s="2083"/>
      <c r="G70" s="2083"/>
      <c r="H70" s="2083"/>
      <c r="I70" s="2083"/>
      <c r="J70" s="2083"/>
      <c r="K70" s="2083"/>
      <c r="L70" s="2083"/>
      <c r="M70" s="2083"/>
      <c r="N70" s="2083"/>
      <c r="O70" s="2139">
        <v>0</v>
      </c>
      <c r="P70" s="2139"/>
      <c r="Q70" s="2139"/>
      <c r="R70" s="2139"/>
      <c r="S70" s="2139"/>
      <c r="T70" s="2139"/>
      <c r="U70" s="2139"/>
      <c r="V70" s="2139"/>
      <c r="W70" s="2139"/>
      <c r="X70" s="2139"/>
      <c r="Y70" s="2139"/>
      <c r="Z70" s="2139"/>
      <c r="AA70" s="2140"/>
      <c r="AB70" s="1202"/>
      <c r="AC70" s="2098" t="s">
        <v>2317</v>
      </c>
      <c r="AD70" s="2099"/>
      <c r="AE70" s="2099"/>
      <c r="AF70" s="2141"/>
      <c r="AG70" s="2141"/>
      <c r="AH70" s="2141"/>
      <c r="AI70" s="2141"/>
      <c r="AJ70" s="2141"/>
      <c r="AK70" s="2141"/>
      <c r="AL70" s="2141"/>
      <c r="AM70" s="2141"/>
      <c r="AN70" s="2141"/>
      <c r="AO70" s="2141"/>
      <c r="AP70" s="2141"/>
      <c r="AQ70" s="2141"/>
      <c r="AR70" s="2141"/>
      <c r="AS70" s="2141"/>
      <c r="AT70" s="2141"/>
      <c r="AU70" s="2142"/>
      <c r="AV70" s="1202"/>
      <c r="AW70" s="1202"/>
      <c r="AX70" s="1202"/>
      <c r="AY70" s="1202"/>
      <c r="AZ70" s="1202"/>
      <c r="BA70" s="1202"/>
      <c r="BB70" s="1202"/>
      <c r="BC70" s="1202"/>
      <c r="BD70" s="1202"/>
      <c r="BE70" s="1209"/>
      <c r="BM70" s="1217" t="s">
        <v>667</v>
      </c>
    </row>
    <row r="71" spans="1:94" ht="15.75" customHeight="1" thickBot="1">
      <c r="A71" s="1202"/>
      <c r="B71" s="2082" t="s">
        <v>2316</v>
      </c>
      <c r="C71" s="2083"/>
      <c r="D71" s="2083"/>
      <c r="E71" s="2083"/>
      <c r="F71" s="2083"/>
      <c r="G71" s="2083"/>
      <c r="H71" s="2083"/>
      <c r="I71" s="2083"/>
      <c r="J71" s="2083"/>
      <c r="K71" s="2083"/>
      <c r="L71" s="2083"/>
      <c r="M71" s="2083"/>
      <c r="N71" s="2083"/>
      <c r="O71" s="2139">
        <v>0</v>
      </c>
      <c r="P71" s="2139"/>
      <c r="Q71" s="2139"/>
      <c r="R71" s="2139"/>
      <c r="S71" s="2139"/>
      <c r="T71" s="2139"/>
      <c r="U71" s="2139"/>
      <c r="V71" s="2139"/>
      <c r="W71" s="2139"/>
      <c r="X71" s="2139"/>
      <c r="Y71" s="2139"/>
      <c r="Z71" s="2139"/>
      <c r="AA71" s="2140"/>
      <c r="AB71" s="1202"/>
      <c r="AC71" s="2143" t="s">
        <v>2315</v>
      </c>
      <c r="AD71" s="2144"/>
      <c r="AE71" s="2144"/>
      <c r="AF71" s="2137"/>
      <c r="AG71" s="2137"/>
      <c r="AH71" s="2137"/>
      <c r="AI71" s="2137"/>
      <c r="AJ71" s="2137"/>
      <c r="AK71" s="2137"/>
      <c r="AL71" s="2137"/>
      <c r="AM71" s="2137"/>
      <c r="AN71" s="2137"/>
      <c r="AO71" s="2137"/>
      <c r="AP71" s="2137"/>
      <c r="AQ71" s="2137"/>
      <c r="AR71" s="2137"/>
      <c r="AS71" s="2137"/>
      <c r="AT71" s="2137"/>
      <c r="AU71" s="2138"/>
      <c r="AV71" s="1202"/>
      <c r="AW71" s="1202"/>
      <c r="AX71" s="1202"/>
      <c r="AY71" s="1202"/>
      <c r="AZ71" s="1202"/>
      <c r="BA71" s="1202"/>
      <c r="BB71" s="1202"/>
      <c r="BC71" s="1202"/>
      <c r="BD71" s="1202"/>
      <c r="BE71" s="1209"/>
      <c r="BM71" s="1198" t="s">
        <v>2314</v>
      </c>
    </row>
    <row r="72" spans="1:94" ht="15.75" customHeight="1">
      <c r="A72" s="1202"/>
      <c r="B72" s="2082" t="s">
        <v>2313</v>
      </c>
      <c r="C72" s="2083"/>
      <c r="D72" s="2083"/>
      <c r="E72" s="2083"/>
      <c r="F72" s="2083"/>
      <c r="G72" s="2083"/>
      <c r="H72" s="2083"/>
      <c r="I72" s="2083"/>
      <c r="J72" s="2083"/>
      <c r="K72" s="2083"/>
      <c r="L72" s="2083"/>
      <c r="M72" s="2083"/>
      <c r="N72" s="2083"/>
      <c r="O72" s="2139">
        <v>0</v>
      </c>
      <c r="P72" s="2139"/>
      <c r="Q72" s="2139"/>
      <c r="R72" s="2139"/>
      <c r="S72" s="2139"/>
      <c r="T72" s="2139"/>
      <c r="U72" s="2139"/>
      <c r="V72" s="2139"/>
      <c r="W72" s="2139"/>
      <c r="X72" s="2139"/>
      <c r="Y72" s="2139"/>
      <c r="Z72" s="2139"/>
      <c r="AA72" s="2140"/>
      <c r="AB72" s="1202"/>
      <c r="AC72" s="2147" t="s">
        <v>2312</v>
      </c>
      <c r="AD72" s="2148"/>
      <c r="AE72" s="2148"/>
      <c r="AF72" s="2148"/>
      <c r="AG72" s="2148"/>
      <c r="AH72" s="2148"/>
      <c r="AI72" s="2148"/>
      <c r="AJ72" s="2148"/>
      <c r="AK72" s="2148"/>
      <c r="AL72" s="2148"/>
      <c r="AM72" s="2148"/>
      <c r="AN72" s="2148"/>
      <c r="AO72" s="2148"/>
      <c r="AP72" s="2148"/>
      <c r="AQ72" s="2148"/>
      <c r="AR72" s="2148"/>
      <c r="AS72" s="2148"/>
      <c r="AT72" s="2148"/>
      <c r="AU72" s="2148"/>
      <c r="AV72" s="2099"/>
      <c r="AW72" s="2099"/>
      <c r="AX72" s="2099"/>
      <c r="AY72" s="2099"/>
      <c r="AZ72" s="2099"/>
      <c r="BA72" s="2099"/>
      <c r="BB72" s="2099"/>
      <c r="BC72" s="2100"/>
      <c r="BD72" s="1202"/>
      <c r="BE72" s="1209"/>
    </row>
    <row r="73" spans="1:94" ht="15.75" customHeight="1">
      <c r="A73" s="1202"/>
      <c r="B73" s="2086" t="s">
        <v>2311</v>
      </c>
      <c r="C73" s="2087"/>
      <c r="D73" s="2087"/>
      <c r="E73" s="2087"/>
      <c r="F73" s="2087"/>
      <c r="G73" s="2087"/>
      <c r="H73" s="2087"/>
      <c r="I73" s="2087"/>
      <c r="J73" s="2087"/>
      <c r="K73" s="2087"/>
      <c r="L73" s="2087"/>
      <c r="M73" s="2087"/>
      <c r="N73" s="2087"/>
      <c r="O73" s="2139">
        <v>0</v>
      </c>
      <c r="P73" s="2139"/>
      <c r="Q73" s="2139"/>
      <c r="R73" s="2139"/>
      <c r="S73" s="2139"/>
      <c r="T73" s="2139"/>
      <c r="U73" s="2139"/>
      <c r="V73" s="2139"/>
      <c r="W73" s="2139"/>
      <c r="X73" s="2139"/>
      <c r="Y73" s="2139"/>
      <c r="Z73" s="2139"/>
      <c r="AA73" s="2140"/>
      <c r="AB73" s="1202"/>
      <c r="AC73" s="2149" t="s">
        <v>2264</v>
      </c>
      <c r="AD73" s="2150"/>
      <c r="AE73" s="2150"/>
      <c r="AF73" s="2150"/>
      <c r="AG73" s="2150"/>
      <c r="AH73" s="2150"/>
      <c r="AI73" s="2150"/>
      <c r="AJ73" s="2150"/>
      <c r="AK73" s="2150"/>
      <c r="AL73" s="2150"/>
      <c r="AM73" s="2150"/>
      <c r="AN73" s="2150"/>
      <c r="AO73" s="2150"/>
      <c r="AP73" s="2150"/>
      <c r="AQ73" s="2150"/>
      <c r="AR73" s="2150"/>
      <c r="AS73" s="2150"/>
      <c r="AT73" s="2150"/>
      <c r="AU73" s="2150"/>
      <c r="AV73" s="2150"/>
      <c r="AW73" s="2150"/>
      <c r="AX73" s="2150"/>
      <c r="AY73" s="2150"/>
      <c r="AZ73" s="2150"/>
      <c r="BA73" s="2150"/>
      <c r="BB73" s="2150"/>
      <c r="BC73" s="2151"/>
      <c r="BD73" s="1202"/>
      <c r="BE73" s="1209"/>
      <c r="CK73" s="1200"/>
      <c r="CL73" s="1200"/>
      <c r="CM73" s="1200"/>
      <c r="CN73" s="1200"/>
      <c r="CO73" s="1200"/>
      <c r="CP73" s="1200"/>
    </row>
    <row r="74" spans="1:94" ht="15.75" customHeight="1">
      <c r="A74" s="1202"/>
      <c r="B74" s="2155"/>
      <c r="C74" s="2105"/>
      <c r="D74" s="2105"/>
      <c r="E74" s="2105"/>
      <c r="F74" s="2105"/>
      <c r="G74" s="2105"/>
      <c r="H74" s="2105"/>
      <c r="I74" s="2105"/>
      <c r="J74" s="2105"/>
      <c r="K74" s="2105"/>
      <c r="L74" s="2105"/>
      <c r="M74" s="2105"/>
      <c r="N74" s="2105"/>
      <c r="O74" s="2139"/>
      <c r="P74" s="2139"/>
      <c r="Q74" s="2139"/>
      <c r="R74" s="2139"/>
      <c r="S74" s="2139"/>
      <c r="T74" s="2139"/>
      <c r="U74" s="2139"/>
      <c r="V74" s="2139"/>
      <c r="W74" s="2139"/>
      <c r="X74" s="2139"/>
      <c r="Y74" s="2139"/>
      <c r="Z74" s="2139"/>
      <c r="AA74" s="2140"/>
      <c r="AB74" s="1202"/>
      <c r="AC74" s="2149"/>
      <c r="AD74" s="2150"/>
      <c r="AE74" s="2150"/>
      <c r="AF74" s="2150"/>
      <c r="AG74" s="2150"/>
      <c r="AH74" s="2150"/>
      <c r="AI74" s="2150"/>
      <c r="AJ74" s="2150"/>
      <c r="AK74" s="2150"/>
      <c r="AL74" s="2150"/>
      <c r="AM74" s="2150"/>
      <c r="AN74" s="2150"/>
      <c r="AO74" s="2150"/>
      <c r="AP74" s="2150"/>
      <c r="AQ74" s="2150"/>
      <c r="AR74" s="2150"/>
      <c r="AS74" s="2150"/>
      <c r="AT74" s="2150"/>
      <c r="AU74" s="2150"/>
      <c r="AV74" s="2150"/>
      <c r="AW74" s="2150"/>
      <c r="AX74" s="2150"/>
      <c r="AY74" s="2150"/>
      <c r="AZ74" s="2150"/>
      <c r="BA74" s="2150"/>
      <c r="BB74" s="2150"/>
      <c r="BC74" s="2151"/>
      <c r="BD74" s="1202"/>
      <c r="BE74" s="1209"/>
      <c r="CK74" s="1200"/>
      <c r="CL74" s="1200"/>
      <c r="CM74" s="1200"/>
      <c r="CN74" s="1200"/>
      <c r="CO74" s="1200"/>
      <c r="CP74" s="1200"/>
    </row>
    <row r="75" spans="1:94" ht="15.75" customHeight="1" thickBot="1">
      <c r="A75" s="1202"/>
      <c r="B75" s="2156" t="s">
        <v>124</v>
      </c>
      <c r="C75" s="2157"/>
      <c r="D75" s="2157"/>
      <c r="E75" s="2157"/>
      <c r="F75" s="2157"/>
      <c r="G75" s="2157"/>
      <c r="H75" s="2157"/>
      <c r="I75" s="2157"/>
      <c r="J75" s="2157"/>
      <c r="K75" s="2157"/>
      <c r="L75" s="2157"/>
      <c r="M75" s="2157"/>
      <c r="N75" s="2157"/>
      <c r="O75" s="2158">
        <f>SUM(O70:AA74)</f>
        <v>0</v>
      </c>
      <c r="P75" s="2158"/>
      <c r="Q75" s="2158"/>
      <c r="R75" s="2158"/>
      <c r="S75" s="2158"/>
      <c r="T75" s="2158"/>
      <c r="U75" s="2158"/>
      <c r="V75" s="2158"/>
      <c r="W75" s="2158"/>
      <c r="X75" s="2158"/>
      <c r="Y75" s="2158"/>
      <c r="Z75" s="2158"/>
      <c r="AA75" s="2159"/>
      <c r="AB75" s="1202"/>
      <c r="AC75" s="2149"/>
      <c r="AD75" s="2150"/>
      <c r="AE75" s="2150"/>
      <c r="AF75" s="2150"/>
      <c r="AG75" s="2150"/>
      <c r="AH75" s="2150"/>
      <c r="AI75" s="2150"/>
      <c r="AJ75" s="2150"/>
      <c r="AK75" s="2150"/>
      <c r="AL75" s="2150"/>
      <c r="AM75" s="2150"/>
      <c r="AN75" s="2150"/>
      <c r="AO75" s="2150"/>
      <c r="AP75" s="2150"/>
      <c r="AQ75" s="2150"/>
      <c r="AR75" s="2150"/>
      <c r="AS75" s="2150"/>
      <c r="AT75" s="2150"/>
      <c r="AU75" s="2150"/>
      <c r="AV75" s="2150"/>
      <c r="AW75" s="2150"/>
      <c r="AX75" s="2150"/>
      <c r="AY75" s="2150"/>
      <c r="AZ75" s="2150"/>
      <c r="BA75" s="2150"/>
      <c r="BB75" s="2150"/>
      <c r="BC75" s="2151"/>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149"/>
      <c r="AD76" s="2150"/>
      <c r="AE76" s="2150"/>
      <c r="AF76" s="2150"/>
      <c r="AG76" s="2150"/>
      <c r="AH76" s="2150"/>
      <c r="AI76" s="2150"/>
      <c r="AJ76" s="2150"/>
      <c r="AK76" s="2150"/>
      <c r="AL76" s="2150"/>
      <c r="AM76" s="2150"/>
      <c r="AN76" s="2150"/>
      <c r="AO76" s="2150"/>
      <c r="AP76" s="2150"/>
      <c r="AQ76" s="2150"/>
      <c r="AR76" s="2150"/>
      <c r="AS76" s="2150"/>
      <c r="AT76" s="2150"/>
      <c r="AU76" s="2150"/>
      <c r="AV76" s="2150"/>
      <c r="AW76" s="2150"/>
      <c r="AX76" s="2150"/>
      <c r="AY76" s="2150"/>
      <c r="AZ76" s="2150"/>
      <c r="BA76" s="2150"/>
      <c r="BB76" s="2150"/>
      <c r="BC76" s="2151"/>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152"/>
      <c r="AD77" s="2153"/>
      <c r="AE77" s="2153"/>
      <c r="AF77" s="2153"/>
      <c r="AG77" s="2153"/>
      <c r="AH77" s="2153"/>
      <c r="AI77" s="2153"/>
      <c r="AJ77" s="2153"/>
      <c r="AK77" s="2153"/>
      <c r="AL77" s="2153"/>
      <c r="AM77" s="2153"/>
      <c r="AN77" s="2153"/>
      <c r="AO77" s="2153"/>
      <c r="AP77" s="2153"/>
      <c r="AQ77" s="2153"/>
      <c r="AR77" s="2153"/>
      <c r="AS77" s="2153"/>
      <c r="AT77" s="2153"/>
      <c r="AU77" s="2153"/>
      <c r="AV77" s="2153"/>
      <c r="AW77" s="2153"/>
      <c r="AX77" s="2153"/>
      <c r="AY77" s="2153"/>
      <c r="AZ77" s="2153"/>
      <c r="BA77" s="2153"/>
      <c r="BB77" s="2153"/>
      <c r="BC77" s="2154"/>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160"/>
      <c r="G79" s="2161"/>
      <c r="H79" s="2161"/>
      <c r="I79" s="2161"/>
      <c r="J79" s="2161"/>
      <c r="K79" s="2161"/>
      <c r="L79" s="2161"/>
      <c r="M79" s="2161"/>
      <c r="N79" s="2161"/>
      <c r="O79" s="2161"/>
      <c r="P79" s="2161"/>
      <c r="Q79" s="2161"/>
      <c r="R79" s="2161"/>
      <c r="S79" s="2161"/>
      <c r="T79" s="2162"/>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3" t="s">
        <v>2309</v>
      </c>
      <c r="C81" s="2164"/>
      <c r="D81" s="2164"/>
      <c r="E81" s="2164"/>
      <c r="F81" s="2164"/>
      <c r="G81" s="2164"/>
      <c r="H81" s="2164"/>
      <c r="I81" s="2164"/>
      <c r="J81" s="2164"/>
      <c r="K81" s="2164"/>
      <c r="L81" s="2164"/>
      <c r="M81" s="2164"/>
      <c r="N81" s="2164"/>
      <c r="O81" s="2164"/>
      <c r="P81" s="2164"/>
      <c r="Q81" s="2164"/>
      <c r="R81" s="2164"/>
      <c r="S81" s="2164"/>
      <c r="T81" s="2164"/>
      <c r="U81" s="2164"/>
      <c r="V81" s="2164"/>
      <c r="W81" s="2164"/>
      <c r="X81" s="2164"/>
      <c r="Y81" s="2164"/>
      <c r="Z81" s="2164"/>
      <c r="AA81" s="2164"/>
      <c r="AB81" s="2164"/>
      <c r="AC81" s="2164"/>
      <c r="AD81" s="2164"/>
      <c r="AE81" s="2164"/>
      <c r="AF81" s="2164"/>
      <c r="AG81" s="2164"/>
      <c r="AH81" s="2165"/>
      <c r="AI81" s="1202"/>
      <c r="AJ81" s="2166" t="s">
        <v>2611</v>
      </c>
      <c r="AK81" s="2167"/>
      <c r="AL81" s="2167"/>
      <c r="AM81" s="2167"/>
      <c r="AN81" s="2167"/>
      <c r="AO81" s="2167"/>
      <c r="AP81" s="2167"/>
      <c r="AQ81" s="2167"/>
      <c r="AR81" s="2167"/>
      <c r="AS81" s="2167"/>
      <c r="AT81" s="2167"/>
      <c r="AU81" s="2167"/>
      <c r="AV81" s="2167"/>
      <c r="AW81" s="2167"/>
      <c r="AX81" s="2167"/>
      <c r="AY81" s="2170" t="s">
        <v>543</v>
      </c>
      <c r="AZ81" s="2170"/>
      <c r="BA81" s="2170"/>
      <c r="BB81" s="2171"/>
      <c r="BC81" s="1202"/>
      <c r="BD81" s="1202"/>
      <c r="BE81" s="1209"/>
      <c r="CK81" s="1200"/>
      <c r="CL81" s="1200"/>
      <c r="CM81" s="1200"/>
      <c r="CN81" s="1200"/>
      <c r="CO81" s="1200"/>
      <c r="CP81" s="1200"/>
    </row>
    <row r="82" spans="1:94" ht="15.75" customHeight="1">
      <c r="A82" s="1202"/>
      <c r="B82" s="2101"/>
      <c r="C82" s="2102"/>
      <c r="D82" s="2102"/>
      <c r="E82" s="2102"/>
      <c r="F82" s="2102"/>
      <c r="G82" s="2102"/>
      <c r="H82" s="2102"/>
      <c r="I82" s="2102" t="s">
        <v>2303</v>
      </c>
      <c r="J82" s="2102"/>
      <c r="K82" s="2102"/>
      <c r="L82" s="2102"/>
      <c r="M82" s="2102"/>
      <c r="N82" s="2102"/>
      <c r="O82" s="2102" t="s">
        <v>2280</v>
      </c>
      <c r="P82" s="2102"/>
      <c r="Q82" s="2102"/>
      <c r="R82" s="2102"/>
      <c r="S82" s="2102"/>
      <c r="T82" s="2102"/>
      <c r="U82" s="2102"/>
      <c r="V82" s="2174" t="s">
        <v>2279</v>
      </c>
      <c r="W82" s="2174"/>
      <c r="X82" s="2174"/>
      <c r="Y82" s="2174"/>
      <c r="Z82" s="2174"/>
      <c r="AA82" s="2174"/>
      <c r="AB82" s="2175" t="s">
        <v>2302</v>
      </c>
      <c r="AC82" s="2175"/>
      <c r="AD82" s="2175"/>
      <c r="AE82" s="2175"/>
      <c r="AF82" s="2175"/>
      <c r="AG82" s="2175"/>
      <c r="AH82" s="2176"/>
      <c r="AI82" s="1202"/>
      <c r="AJ82" s="2168"/>
      <c r="AK82" s="2169"/>
      <c r="AL82" s="2169"/>
      <c r="AM82" s="2169"/>
      <c r="AN82" s="2169"/>
      <c r="AO82" s="2169"/>
      <c r="AP82" s="2169"/>
      <c r="AQ82" s="2169"/>
      <c r="AR82" s="2169"/>
      <c r="AS82" s="2169"/>
      <c r="AT82" s="2169"/>
      <c r="AU82" s="2169"/>
      <c r="AV82" s="2169"/>
      <c r="AW82" s="2169"/>
      <c r="AX82" s="2169"/>
      <c r="AY82" s="2172"/>
      <c r="AZ82" s="2172"/>
      <c r="BA82" s="2172"/>
      <c r="BB82" s="2173"/>
      <c r="BC82" s="1202"/>
      <c r="BD82" s="1202"/>
      <c r="BE82" s="1209"/>
      <c r="CK82" s="1200"/>
      <c r="CL82" s="1200"/>
      <c r="CM82" s="1200"/>
      <c r="CN82" s="1200"/>
      <c r="CO82" s="1200"/>
      <c r="CP82" s="1200"/>
    </row>
    <row r="83" spans="1:94" ht="15.75" customHeight="1">
      <c r="A83" s="1202"/>
      <c r="B83" s="2101"/>
      <c r="C83" s="2102"/>
      <c r="D83" s="2102"/>
      <c r="E83" s="2102"/>
      <c r="F83" s="2102"/>
      <c r="G83" s="2102"/>
      <c r="H83" s="2102"/>
      <c r="I83" s="2102"/>
      <c r="J83" s="2102"/>
      <c r="K83" s="2102"/>
      <c r="L83" s="2102"/>
      <c r="M83" s="2102"/>
      <c r="N83" s="2102"/>
      <c r="O83" s="2102"/>
      <c r="P83" s="2102"/>
      <c r="Q83" s="2102"/>
      <c r="R83" s="2102"/>
      <c r="S83" s="2102"/>
      <c r="T83" s="2102"/>
      <c r="U83" s="2102"/>
      <c r="V83" s="2174"/>
      <c r="W83" s="2174"/>
      <c r="X83" s="2174"/>
      <c r="Y83" s="2174"/>
      <c r="Z83" s="2174"/>
      <c r="AA83" s="2174"/>
      <c r="AB83" s="2175"/>
      <c r="AC83" s="2175"/>
      <c r="AD83" s="2175"/>
      <c r="AE83" s="2175"/>
      <c r="AF83" s="2175"/>
      <c r="AG83" s="2175"/>
      <c r="AH83" s="2176"/>
      <c r="AI83" s="1202"/>
      <c r="AJ83" s="2168"/>
      <c r="AK83" s="2169"/>
      <c r="AL83" s="2169"/>
      <c r="AM83" s="2169"/>
      <c r="AN83" s="2169"/>
      <c r="AO83" s="2169"/>
      <c r="AP83" s="2169"/>
      <c r="AQ83" s="2169"/>
      <c r="AR83" s="2169"/>
      <c r="AS83" s="2169"/>
      <c r="AT83" s="2169"/>
      <c r="AU83" s="2169"/>
      <c r="AV83" s="2169"/>
      <c r="AW83" s="2169"/>
      <c r="AX83" s="2169"/>
      <c r="AY83" s="2172"/>
      <c r="AZ83" s="2172"/>
      <c r="BA83" s="2172"/>
      <c r="BB83" s="2173"/>
      <c r="BC83" s="1202"/>
      <c r="BD83" s="1202"/>
      <c r="BE83" s="1209"/>
      <c r="CK83" s="1200"/>
      <c r="CL83" s="1200"/>
      <c r="CM83" s="1200"/>
      <c r="CN83" s="1200"/>
      <c r="CO83" s="1200"/>
      <c r="CP83" s="1200"/>
    </row>
    <row r="84" spans="1:94" ht="15.75" customHeight="1">
      <c r="A84" s="1202"/>
      <c r="B84" s="2101" t="s">
        <v>2301</v>
      </c>
      <c r="C84" s="2102"/>
      <c r="D84" s="2102"/>
      <c r="E84" s="2102"/>
      <c r="F84" s="2102"/>
      <c r="G84" s="2102"/>
      <c r="H84" s="2102"/>
      <c r="I84" s="2179">
        <v>0</v>
      </c>
      <c r="J84" s="2179"/>
      <c r="K84" s="2179"/>
      <c r="L84" s="2179"/>
      <c r="M84" s="2179"/>
      <c r="N84" s="2179"/>
      <c r="O84" s="2179">
        <v>0</v>
      </c>
      <c r="P84" s="2179"/>
      <c r="Q84" s="2179"/>
      <c r="R84" s="2179"/>
      <c r="S84" s="2179"/>
      <c r="T84" s="2179"/>
      <c r="U84" s="2179"/>
      <c r="V84" s="2179">
        <v>0</v>
      </c>
      <c r="W84" s="2179"/>
      <c r="X84" s="2179"/>
      <c r="Y84" s="2179"/>
      <c r="Z84" s="2179"/>
      <c r="AA84" s="2179"/>
      <c r="AB84" s="2179">
        <v>0</v>
      </c>
      <c r="AC84" s="2179"/>
      <c r="AD84" s="2179"/>
      <c r="AE84" s="2179"/>
      <c r="AF84" s="2179"/>
      <c r="AG84" s="2179"/>
      <c r="AH84" s="2180"/>
      <c r="AI84" s="1202"/>
      <c r="AJ84" s="2168"/>
      <c r="AK84" s="2169"/>
      <c r="AL84" s="2169"/>
      <c r="AM84" s="2169"/>
      <c r="AN84" s="2169"/>
      <c r="AO84" s="2169"/>
      <c r="AP84" s="2169"/>
      <c r="AQ84" s="2169"/>
      <c r="AR84" s="2169"/>
      <c r="AS84" s="2169"/>
      <c r="AT84" s="2169"/>
      <c r="AU84" s="2169"/>
      <c r="AV84" s="2169"/>
      <c r="AW84" s="2169"/>
      <c r="AX84" s="2169"/>
      <c r="AY84" s="2172"/>
      <c r="AZ84" s="2172"/>
      <c r="BA84" s="2172"/>
      <c r="BB84" s="2173"/>
      <c r="BC84" s="1202"/>
      <c r="BD84" s="1202"/>
      <c r="BE84" s="1209"/>
      <c r="CK84" s="1200"/>
      <c r="CL84" s="1200"/>
      <c r="CM84" s="1200"/>
      <c r="CN84" s="1200"/>
      <c r="CO84" s="1200"/>
      <c r="CP84" s="1200"/>
    </row>
    <row r="85" spans="1:94" ht="15.75" customHeight="1">
      <c r="A85" s="1202"/>
      <c r="B85" s="2101" t="s">
        <v>2300</v>
      </c>
      <c r="C85" s="2102"/>
      <c r="D85" s="2102"/>
      <c r="E85" s="2102"/>
      <c r="F85" s="2102"/>
      <c r="G85" s="2102"/>
      <c r="H85" s="2102"/>
      <c r="I85" s="2179">
        <v>0</v>
      </c>
      <c r="J85" s="2179"/>
      <c r="K85" s="2179"/>
      <c r="L85" s="2179"/>
      <c r="M85" s="2179"/>
      <c r="N85" s="2179"/>
      <c r="O85" s="2179">
        <v>0</v>
      </c>
      <c r="P85" s="2179"/>
      <c r="Q85" s="2179"/>
      <c r="R85" s="2179"/>
      <c r="S85" s="2179"/>
      <c r="T85" s="2179"/>
      <c r="U85" s="2179"/>
      <c r="V85" s="2179">
        <v>0</v>
      </c>
      <c r="W85" s="2179"/>
      <c r="X85" s="2179"/>
      <c r="Y85" s="2179"/>
      <c r="Z85" s="2179"/>
      <c r="AA85" s="2179"/>
      <c r="AB85" s="2179">
        <v>0</v>
      </c>
      <c r="AC85" s="2179"/>
      <c r="AD85" s="2179"/>
      <c r="AE85" s="2179"/>
      <c r="AF85" s="2179"/>
      <c r="AG85" s="2179"/>
      <c r="AH85" s="2180"/>
      <c r="AI85" s="1202"/>
      <c r="AJ85" s="2149" t="s">
        <v>2306</v>
      </c>
      <c r="AK85" s="2150"/>
      <c r="AL85" s="2150"/>
      <c r="AM85" s="2150"/>
      <c r="AN85" s="2150"/>
      <c r="AO85" s="2150"/>
      <c r="AP85" s="2150"/>
      <c r="AQ85" s="2150"/>
      <c r="AR85" s="2150"/>
      <c r="AS85" s="2150"/>
      <c r="AT85" s="2150"/>
      <c r="AU85" s="2150"/>
      <c r="AV85" s="2150"/>
      <c r="AW85" s="2150"/>
      <c r="AX85" s="2150"/>
      <c r="AY85" s="2150"/>
      <c r="AZ85" s="2150"/>
      <c r="BA85" s="2150"/>
      <c r="BB85" s="2151"/>
      <c r="BC85" s="1202"/>
      <c r="BD85" s="1202"/>
      <c r="BE85" s="1209"/>
      <c r="CK85" s="1200"/>
      <c r="CL85" s="1200"/>
      <c r="CM85" s="1200"/>
      <c r="CN85" s="1200"/>
      <c r="CO85" s="1200"/>
      <c r="CP85" s="1200"/>
    </row>
    <row r="86" spans="1:94" ht="15.75" customHeight="1" thickBot="1">
      <c r="A86" s="1202"/>
      <c r="B86" s="2119" t="s">
        <v>2299</v>
      </c>
      <c r="C86" s="2120"/>
      <c r="D86" s="2120"/>
      <c r="E86" s="2120"/>
      <c r="F86" s="2120"/>
      <c r="G86" s="2120"/>
      <c r="H86" s="2120"/>
      <c r="I86" s="2177">
        <v>0</v>
      </c>
      <c r="J86" s="2177"/>
      <c r="K86" s="2177"/>
      <c r="L86" s="2177"/>
      <c r="M86" s="2177"/>
      <c r="N86" s="2177"/>
      <c r="O86" s="2177">
        <v>0</v>
      </c>
      <c r="P86" s="2177"/>
      <c r="Q86" s="2177"/>
      <c r="R86" s="2177"/>
      <c r="S86" s="2177"/>
      <c r="T86" s="2177"/>
      <c r="U86" s="2177"/>
      <c r="V86" s="2177">
        <v>0</v>
      </c>
      <c r="W86" s="2177"/>
      <c r="X86" s="2177"/>
      <c r="Y86" s="2177"/>
      <c r="Z86" s="2177"/>
      <c r="AA86" s="2177"/>
      <c r="AB86" s="2177">
        <v>0</v>
      </c>
      <c r="AC86" s="2177"/>
      <c r="AD86" s="2177"/>
      <c r="AE86" s="2177"/>
      <c r="AF86" s="2177"/>
      <c r="AG86" s="2177"/>
      <c r="AH86" s="2178"/>
      <c r="AI86" s="1202"/>
      <c r="AJ86" s="2152"/>
      <c r="AK86" s="2153"/>
      <c r="AL86" s="2153"/>
      <c r="AM86" s="2153"/>
      <c r="AN86" s="2153"/>
      <c r="AO86" s="2153"/>
      <c r="AP86" s="2153"/>
      <c r="AQ86" s="2153"/>
      <c r="AR86" s="2153"/>
      <c r="AS86" s="2153"/>
      <c r="AT86" s="2153"/>
      <c r="AU86" s="2153"/>
      <c r="AV86" s="2153"/>
      <c r="AW86" s="2153"/>
      <c r="AX86" s="2153"/>
      <c r="AY86" s="2153"/>
      <c r="AZ86" s="2153"/>
      <c r="BA86" s="2153"/>
      <c r="BB86" s="2154"/>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160"/>
      <c r="G90" s="2161"/>
      <c r="H90" s="2161"/>
      <c r="I90" s="2161"/>
      <c r="J90" s="2161"/>
      <c r="K90" s="2161"/>
      <c r="L90" s="2161"/>
      <c r="M90" s="2161"/>
      <c r="N90" s="2161"/>
      <c r="O90" s="2161"/>
      <c r="P90" s="2161"/>
      <c r="Q90" s="2161"/>
      <c r="R90" s="2161"/>
      <c r="S90" s="2161"/>
      <c r="T90" s="2162"/>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3" t="s">
        <v>2307</v>
      </c>
      <c r="C92" s="2164"/>
      <c r="D92" s="2164"/>
      <c r="E92" s="2164"/>
      <c r="F92" s="2164"/>
      <c r="G92" s="2164"/>
      <c r="H92" s="2164"/>
      <c r="I92" s="2164"/>
      <c r="J92" s="2164"/>
      <c r="K92" s="2164"/>
      <c r="L92" s="2164"/>
      <c r="M92" s="2164"/>
      <c r="N92" s="2164"/>
      <c r="O92" s="2164"/>
      <c r="P92" s="2164"/>
      <c r="Q92" s="2164"/>
      <c r="R92" s="2164"/>
      <c r="S92" s="2164"/>
      <c r="T92" s="2164"/>
      <c r="U92" s="2164"/>
      <c r="V92" s="2164"/>
      <c r="W92" s="2164"/>
      <c r="X92" s="2164"/>
      <c r="Y92" s="2164"/>
      <c r="Z92" s="2164"/>
      <c r="AA92" s="2164"/>
      <c r="AB92" s="2164"/>
      <c r="AC92" s="2164"/>
      <c r="AD92" s="2164"/>
      <c r="AE92" s="2164"/>
      <c r="AF92" s="2164"/>
      <c r="AG92" s="2164"/>
      <c r="AH92" s="2165"/>
      <c r="AI92" s="1202"/>
      <c r="AJ92" s="2166" t="s">
        <v>2612</v>
      </c>
      <c r="AK92" s="2167"/>
      <c r="AL92" s="2167"/>
      <c r="AM92" s="2167"/>
      <c r="AN92" s="2167"/>
      <c r="AO92" s="2167"/>
      <c r="AP92" s="2167"/>
      <c r="AQ92" s="2167"/>
      <c r="AR92" s="2167"/>
      <c r="AS92" s="2167"/>
      <c r="AT92" s="2167"/>
      <c r="AU92" s="2167"/>
      <c r="AV92" s="2167"/>
      <c r="AW92" s="2167"/>
      <c r="AX92" s="2167"/>
      <c r="AY92" s="2170" t="s">
        <v>543</v>
      </c>
      <c r="AZ92" s="2170"/>
      <c r="BA92" s="2170"/>
      <c r="BB92" s="2171"/>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01"/>
      <c r="C93" s="2102"/>
      <c r="D93" s="2102"/>
      <c r="E93" s="2102"/>
      <c r="F93" s="2102"/>
      <c r="G93" s="2102"/>
      <c r="H93" s="2102"/>
      <c r="I93" s="2102" t="s">
        <v>2303</v>
      </c>
      <c r="J93" s="2102"/>
      <c r="K93" s="2102"/>
      <c r="L93" s="2102"/>
      <c r="M93" s="2102"/>
      <c r="N93" s="2102"/>
      <c r="O93" s="2102" t="s">
        <v>2280</v>
      </c>
      <c r="P93" s="2102"/>
      <c r="Q93" s="2102"/>
      <c r="R93" s="2102"/>
      <c r="S93" s="2102"/>
      <c r="T93" s="2102"/>
      <c r="U93" s="2102"/>
      <c r="V93" s="2174" t="s">
        <v>2279</v>
      </c>
      <c r="W93" s="2174"/>
      <c r="X93" s="2174"/>
      <c r="Y93" s="2174"/>
      <c r="Z93" s="2174"/>
      <c r="AA93" s="2174"/>
      <c r="AB93" s="2175" t="s">
        <v>2302</v>
      </c>
      <c r="AC93" s="2175"/>
      <c r="AD93" s="2175"/>
      <c r="AE93" s="2175"/>
      <c r="AF93" s="2175"/>
      <c r="AG93" s="2175"/>
      <c r="AH93" s="2176"/>
      <c r="AI93" s="1202"/>
      <c r="AJ93" s="2168"/>
      <c r="AK93" s="2169"/>
      <c r="AL93" s="2169"/>
      <c r="AM93" s="2169"/>
      <c r="AN93" s="2169"/>
      <c r="AO93" s="2169"/>
      <c r="AP93" s="2169"/>
      <c r="AQ93" s="2169"/>
      <c r="AR93" s="2169"/>
      <c r="AS93" s="2169"/>
      <c r="AT93" s="2169"/>
      <c r="AU93" s="2169"/>
      <c r="AV93" s="2169"/>
      <c r="AW93" s="2169"/>
      <c r="AX93" s="2169"/>
      <c r="AY93" s="2172"/>
      <c r="AZ93" s="2172"/>
      <c r="BA93" s="2172"/>
      <c r="BB93" s="2173"/>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01"/>
      <c r="C94" s="2102"/>
      <c r="D94" s="2102"/>
      <c r="E94" s="2102"/>
      <c r="F94" s="2102"/>
      <c r="G94" s="2102"/>
      <c r="H94" s="2102"/>
      <c r="I94" s="2102"/>
      <c r="J94" s="2102"/>
      <c r="K94" s="2102"/>
      <c r="L94" s="2102"/>
      <c r="M94" s="2102"/>
      <c r="N94" s="2102"/>
      <c r="O94" s="2102"/>
      <c r="P94" s="2102"/>
      <c r="Q94" s="2102"/>
      <c r="R94" s="2102"/>
      <c r="S94" s="2102"/>
      <c r="T94" s="2102"/>
      <c r="U94" s="2102"/>
      <c r="V94" s="2174"/>
      <c r="W94" s="2174"/>
      <c r="X94" s="2174"/>
      <c r="Y94" s="2174"/>
      <c r="Z94" s="2174"/>
      <c r="AA94" s="2174"/>
      <c r="AB94" s="2175"/>
      <c r="AC94" s="2175"/>
      <c r="AD94" s="2175"/>
      <c r="AE94" s="2175"/>
      <c r="AF94" s="2175"/>
      <c r="AG94" s="2175"/>
      <c r="AH94" s="2176"/>
      <c r="AI94" s="1202"/>
      <c r="AJ94" s="2168"/>
      <c r="AK94" s="2169"/>
      <c r="AL94" s="2169"/>
      <c r="AM94" s="2169"/>
      <c r="AN94" s="2169"/>
      <c r="AO94" s="2169"/>
      <c r="AP94" s="2169"/>
      <c r="AQ94" s="2169"/>
      <c r="AR94" s="2169"/>
      <c r="AS94" s="2169"/>
      <c r="AT94" s="2169"/>
      <c r="AU94" s="2169"/>
      <c r="AV94" s="2169"/>
      <c r="AW94" s="2169"/>
      <c r="AX94" s="2169"/>
      <c r="AY94" s="2172"/>
      <c r="AZ94" s="2172"/>
      <c r="BA94" s="2172"/>
      <c r="BB94" s="2173"/>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01" t="s">
        <v>2301</v>
      </c>
      <c r="C95" s="2102"/>
      <c r="D95" s="2102"/>
      <c r="E95" s="2102"/>
      <c r="F95" s="2102"/>
      <c r="G95" s="2102"/>
      <c r="H95" s="2102"/>
      <c r="I95" s="2179">
        <v>0</v>
      </c>
      <c r="J95" s="2179"/>
      <c r="K95" s="2179"/>
      <c r="L95" s="2179"/>
      <c r="M95" s="2179"/>
      <c r="N95" s="2179"/>
      <c r="O95" s="2179">
        <v>0</v>
      </c>
      <c r="P95" s="2179"/>
      <c r="Q95" s="2179"/>
      <c r="R95" s="2179"/>
      <c r="S95" s="2179"/>
      <c r="T95" s="2179"/>
      <c r="U95" s="2179"/>
      <c r="V95" s="2179">
        <v>0</v>
      </c>
      <c r="W95" s="2179"/>
      <c r="X95" s="2179"/>
      <c r="Y95" s="2179"/>
      <c r="Z95" s="2179"/>
      <c r="AA95" s="2179"/>
      <c r="AB95" s="2179">
        <v>0</v>
      </c>
      <c r="AC95" s="2179"/>
      <c r="AD95" s="2179"/>
      <c r="AE95" s="2179"/>
      <c r="AF95" s="2179"/>
      <c r="AG95" s="2179"/>
      <c r="AH95" s="2180"/>
      <c r="AI95" s="1202"/>
      <c r="AJ95" s="2168"/>
      <c r="AK95" s="2169"/>
      <c r="AL95" s="2169"/>
      <c r="AM95" s="2169"/>
      <c r="AN95" s="2169"/>
      <c r="AO95" s="2169"/>
      <c r="AP95" s="2169"/>
      <c r="AQ95" s="2169"/>
      <c r="AR95" s="2169"/>
      <c r="AS95" s="2169"/>
      <c r="AT95" s="2169"/>
      <c r="AU95" s="2169"/>
      <c r="AV95" s="2169"/>
      <c r="AW95" s="2169"/>
      <c r="AX95" s="2169"/>
      <c r="AY95" s="2172"/>
      <c r="AZ95" s="2172"/>
      <c r="BA95" s="2172"/>
      <c r="BB95" s="2173"/>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01" t="s">
        <v>2300</v>
      </c>
      <c r="C96" s="2102"/>
      <c r="D96" s="2102"/>
      <c r="E96" s="2102"/>
      <c r="F96" s="2102"/>
      <c r="G96" s="2102"/>
      <c r="H96" s="2102"/>
      <c r="I96" s="2179">
        <v>0</v>
      </c>
      <c r="J96" s="2179"/>
      <c r="K96" s="2179"/>
      <c r="L96" s="2179"/>
      <c r="M96" s="2179"/>
      <c r="N96" s="2179"/>
      <c r="O96" s="2179">
        <v>0</v>
      </c>
      <c r="P96" s="2179"/>
      <c r="Q96" s="2179"/>
      <c r="R96" s="2179"/>
      <c r="S96" s="2179"/>
      <c r="T96" s="2179"/>
      <c r="U96" s="2179"/>
      <c r="V96" s="2179">
        <v>0</v>
      </c>
      <c r="W96" s="2179"/>
      <c r="X96" s="2179"/>
      <c r="Y96" s="2179"/>
      <c r="Z96" s="2179"/>
      <c r="AA96" s="2179"/>
      <c r="AB96" s="2179">
        <v>0</v>
      </c>
      <c r="AC96" s="2179"/>
      <c r="AD96" s="2179"/>
      <c r="AE96" s="2179"/>
      <c r="AF96" s="2179"/>
      <c r="AG96" s="2179"/>
      <c r="AH96" s="2180"/>
      <c r="AI96" s="1202"/>
      <c r="AJ96" s="2149" t="s">
        <v>2306</v>
      </c>
      <c r="AK96" s="2150"/>
      <c r="AL96" s="2150"/>
      <c r="AM96" s="2150"/>
      <c r="AN96" s="2150"/>
      <c r="AO96" s="2150"/>
      <c r="AP96" s="2150"/>
      <c r="AQ96" s="2150"/>
      <c r="AR96" s="2150"/>
      <c r="AS96" s="2150"/>
      <c r="AT96" s="2150"/>
      <c r="AU96" s="2150"/>
      <c r="AV96" s="2150"/>
      <c r="AW96" s="2150"/>
      <c r="AX96" s="2150"/>
      <c r="AY96" s="2150"/>
      <c r="AZ96" s="2150"/>
      <c r="BA96" s="2150"/>
      <c r="BB96" s="2151"/>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19" t="s">
        <v>2299</v>
      </c>
      <c r="C97" s="2120"/>
      <c r="D97" s="2120"/>
      <c r="E97" s="2120"/>
      <c r="F97" s="2120"/>
      <c r="G97" s="2120"/>
      <c r="H97" s="2120"/>
      <c r="I97" s="2177">
        <v>0</v>
      </c>
      <c r="J97" s="2177"/>
      <c r="K97" s="2177"/>
      <c r="L97" s="2177"/>
      <c r="M97" s="2177"/>
      <c r="N97" s="2177"/>
      <c r="O97" s="2177">
        <v>0</v>
      </c>
      <c r="P97" s="2177"/>
      <c r="Q97" s="2177"/>
      <c r="R97" s="2177"/>
      <c r="S97" s="2177"/>
      <c r="T97" s="2177"/>
      <c r="U97" s="2177"/>
      <c r="V97" s="2177">
        <v>0</v>
      </c>
      <c r="W97" s="2177"/>
      <c r="X97" s="2177"/>
      <c r="Y97" s="2177"/>
      <c r="Z97" s="2177"/>
      <c r="AA97" s="2177"/>
      <c r="AB97" s="2177">
        <v>0</v>
      </c>
      <c r="AC97" s="2177"/>
      <c r="AD97" s="2177"/>
      <c r="AE97" s="2177"/>
      <c r="AF97" s="2177"/>
      <c r="AG97" s="2177"/>
      <c r="AH97" s="2178"/>
      <c r="AI97" s="1202"/>
      <c r="AJ97" s="2152"/>
      <c r="AK97" s="2153"/>
      <c r="AL97" s="2153"/>
      <c r="AM97" s="2153"/>
      <c r="AN97" s="2153"/>
      <c r="AO97" s="2153"/>
      <c r="AP97" s="2153"/>
      <c r="AQ97" s="2153"/>
      <c r="AR97" s="2153"/>
      <c r="AS97" s="2153"/>
      <c r="AT97" s="2153"/>
      <c r="AU97" s="2153"/>
      <c r="AV97" s="2153"/>
      <c r="AW97" s="2153"/>
      <c r="AX97" s="2153"/>
      <c r="AY97" s="2153"/>
      <c r="AZ97" s="2153"/>
      <c r="BA97" s="2153"/>
      <c r="BB97" s="2154"/>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181"/>
      <c r="G100" s="2182"/>
      <c r="H100" s="2182"/>
      <c r="I100" s="2182"/>
      <c r="J100" s="2182"/>
      <c r="K100" s="2182"/>
      <c r="L100" s="2182"/>
      <c r="M100" s="2182"/>
      <c r="N100" s="2182"/>
      <c r="O100" s="2182"/>
      <c r="P100" s="2182"/>
      <c r="Q100" s="2182"/>
      <c r="R100" s="2183"/>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145" t="s">
        <v>2304</v>
      </c>
      <c r="C102" s="2146"/>
      <c r="D102" s="2146"/>
      <c r="E102" s="2146"/>
      <c r="F102" s="2146"/>
      <c r="G102" s="2146"/>
      <c r="H102" s="2146"/>
      <c r="I102" s="2146"/>
      <c r="J102" s="2146"/>
      <c r="K102" s="2146"/>
      <c r="L102" s="2146"/>
      <c r="M102" s="2146"/>
      <c r="N102" s="2146"/>
      <c r="O102" s="2146"/>
      <c r="P102" s="2146"/>
      <c r="Q102" s="2146"/>
      <c r="R102" s="2146"/>
      <c r="S102" s="2146"/>
      <c r="T102" s="2146"/>
      <c r="U102" s="2146"/>
      <c r="V102" s="2146"/>
      <c r="W102" s="2146"/>
      <c r="X102" s="2146"/>
      <c r="Y102" s="2146"/>
      <c r="Z102" s="2146"/>
      <c r="AA102" s="2146"/>
      <c r="AB102" s="2146"/>
      <c r="AC102" s="2146"/>
      <c r="AD102" s="2146"/>
      <c r="AE102" s="2146"/>
      <c r="AF102" s="2146"/>
      <c r="AG102" s="2146"/>
      <c r="AH102" s="2184"/>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01"/>
      <c r="C103" s="2102"/>
      <c r="D103" s="2102"/>
      <c r="E103" s="2102"/>
      <c r="F103" s="2102"/>
      <c r="G103" s="2102"/>
      <c r="H103" s="2102"/>
      <c r="I103" s="2102" t="s">
        <v>2303</v>
      </c>
      <c r="J103" s="2102"/>
      <c r="K103" s="2102"/>
      <c r="L103" s="2102"/>
      <c r="M103" s="2102"/>
      <c r="N103" s="2102"/>
      <c r="O103" s="2102" t="s">
        <v>2280</v>
      </c>
      <c r="P103" s="2102"/>
      <c r="Q103" s="2102"/>
      <c r="R103" s="2102"/>
      <c r="S103" s="2102"/>
      <c r="T103" s="2102"/>
      <c r="U103" s="2102"/>
      <c r="V103" s="2174" t="s">
        <v>2279</v>
      </c>
      <c r="W103" s="2174"/>
      <c r="X103" s="2174"/>
      <c r="Y103" s="2174"/>
      <c r="Z103" s="2174"/>
      <c r="AA103" s="2174"/>
      <c r="AB103" s="2175" t="s">
        <v>2302</v>
      </c>
      <c r="AC103" s="2175"/>
      <c r="AD103" s="2175"/>
      <c r="AE103" s="2175"/>
      <c r="AF103" s="2175"/>
      <c r="AG103" s="2175"/>
      <c r="AH103" s="2176"/>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01"/>
      <c r="C104" s="2102"/>
      <c r="D104" s="2102"/>
      <c r="E104" s="2102"/>
      <c r="F104" s="2102"/>
      <c r="G104" s="2102"/>
      <c r="H104" s="2102"/>
      <c r="I104" s="2102"/>
      <c r="J104" s="2102"/>
      <c r="K104" s="2102"/>
      <c r="L104" s="2102"/>
      <c r="M104" s="2102"/>
      <c r="N104" s="2102"/>
      <c r="O104" s="2102"/>
      <c r="P104" s="2102"/>
      <c r="Q104" s="2102"/>
      <c r="R104" s="2102"/>
      <c r="S104" s="2102"/>
      <c r="T104" s="2102"/>
      <c r="U104" s="2102"/>
      <c r="V104" s="2174"/>
      <c r="W104" s="2174"/>
      <c r="X104" s="2174"/>
      <c r="Y104" s="2174"/>
      <c r="Z104" s="2174"/>
      <c r="AA104" s="2174"/>
      <c r="AB104" s="2175"/>
      <c r="AC104" s="2175"/>
      <c r="AD104" s="2175"/>
      <c r="AE104" s="2175"/>
      <c r="AF104" s="2175"/>
      <c r="AG104" s="2175"/>
      <c r="AH104" s="2176"/>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01" t="s">
        <v>2301</v>
      </c>
      <c r="C105" s="2102"/>
      <c r="D105" s="2102"/>
      <c r="E105" s="2102"/>
      <c r="F105" s="2102"/>
      <c r="G105" s="2102"/>
      <c r="H105" s="2102"/>
      <c r="I105" s="2179">
        <v>0</v>
      </c>
      <c r="J105" s="2179"/>
      <c r="K105" s="2179"/>
      <c r="L105" s="2179"/>
      <c r="M105" s="2179"/>
      <c r="N105" s="2179"/>
      <c r="O105" s="2179">
        <v>0</v>
      </c>
      <c r="P105" s="2179"/>
      <c r="Q105" s="2179"/>
      <c r="R105" s="2179"/>
      <c r="S105" s="2179"/>
      <c r="T105" s="2179"/>
      <c r="U105" s="2179"/>
      <c r="V105" s="2179">
        <v>0</v>
      </c>
      <c r="W105" s="2179"/>
      <c r="X105" s="2179"/>
      <c r="Y105" s="2179"/>
      <c r="Z105" s="2179"/>
      <c r="AA105" s="2179"/>
      <c r="AB105" s="2179">
        <v>0</v>
      </c>
      <c r="AC105" s="2179"/>
      <c r="AD105" s="2179"/>
      <c r="AE105" s="2179"/>
      <c r="AF105" s="2179"/>
      <c r="AG105" s="2179"/>
      <c r="AH105" s="2180"/>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01" t="s">
        <v>2300</v>
      </c>
      <c r="C106" s="2102"/>
      <c r="D106" s="2102"/>
      <c r="E106" s="2102"/>
      <c r="F106" s="2102"/>
      <c r="G106" s="2102"/>
      <c r="H106" s="2102"/>
      <c r="I106" s="2179">
        <v>0</v>
      </c>
      <c r="J106" s="2179"/>
      <c r="K106" s="2179"/>
      <c r="L106" s="2179"/>
      <c r="M106" s="2179"/>
      <c r="N106" s="2179"/>
      <c r="O106" s="2179">
        <v>0</v>
      </c>
      <c r="P106" s="2179"/>
      <c r="Q106" s="2179"/>
      <c r="R106" s="2179"/>
      <c r="S106" s="2179"/>
      <c r="T106" s="2179"/>
      <c r="U106" s="2179"/>
      <c r="V106" s="2179">
        <v>0</v>
      </c>
      <c r="W106" s="2179"/>
      <c r="X106" s="2179"/>
      <c r="Y106" s="2179"/>
      <c r="Z106" s="2179"/>
      <c r="AA106" s="2179"/>
      <c r="AB106" s="2179">
        <v>0</v>
      </c>
      <c r="AC106" s="2179"/>
      <c r="AD106" s="2179"/>
      <c r="AE106" s="2179"/>
      <c r="AF106" s="2179"/>
      <c r="AG106" s="2179"/>
      <c r="AH106" s="2180"/>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19" t="s">
        <v>2299</v>
      </c>
      <c r="C107" s="2120"/>
      <c r="D107" s="2120"/>
      <c r="E107" s="2120"/>
      <c r="F107" s="2120"/>
      <c r="G107" s="2120"/>
      <c r="H107" s="2120"/>
      <c r="I107" s="2177">
        <v>0</v>
      </c>
      <c r="J107" s="2177"/>
      <c r="K107" s="2177"/>
      <c r="L107" s="2177"/>
      <c r="M107" s="2177"/>
      <c r="N107" s="2177"/>
      <c r="O107" s="2177">
        <v>0</v>
      </c>
      <c r="P107" s="2177"/>
      <c r="Q107" s="2177"/>
      <c r="R107" s="2177"/>
      <c r="S107" s="2177"/>
      <c r="T107" s="2177"/>
      <c r="U107" s="2177"/>
      <c r="V107" s="2177">
        <v>0</v>
      </c>
      <c r="W107" s="2177"/>
      <c r="X107" s="2177"/>
      <c r="Y107" s="2177"/>
      <c r="Z107" s="2177"/>
      <c r="AA107" s="2177"/>
      <c r="AB107" s="2177">
        <v>0</v>
      </c>
      <c r="AC107" s="2177"/>
      <c r="AD107" s="2177"/>
      <c r="AE107" s="2177"/>
      <c r="AF107" s="2177"/>
      <c r="AG107" s="2177"/>
      <c r="AH107" s="2178"/>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181"/>
      <c r="G110" s="2182"/>
      <c r="H110" s="2182"/>
      <c r="I110" s="2182"/>
      <c r="J110" s="2182"/>
      <c r="K110" s="2182"/>
      <c r="L110" s="2182"/>
      <c r="M110" s="2182"/>
      <c r="N110" s="2182"/>
      <c r="O110" s="2182"/>
      <c r="P110" s="2182"/>
      <c r="Q110" s="2182"/>
      <c r="R110" s="2183"/>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85" t="s">
        <v>2613</v>
      </c>
      <c r="C112" s="2186"/>
      <c r="D112" s="2186"/>
      <c r="E112" s="2186"/>
      <c r="F112" s="2186"/>
      <c r="G112" s="2186"/>
      <c r="H112" s="2186"/>
      <c r="I112" s="2186"/>
      <c r="J112" s="2186"/>
      <c r="K112" s="2186"/>
      <c r="L112" s="2186"/>
      <c r="M112" s="2186"/>
      <c r="N112" s="2186"/>
      <c r="O112" s="2186"/>
      <c r="P112" s="2186"/>
      <c r="Q112" s="2186"/>
      <c r="R112" s="2186"/>
      <c r="S112" s="2186"/>
      <c r="T112" s="2186"/>
      <c r="U112" s="2189" t="s">
        <v>543</v>
      </c>
      <c r="V112" s="2189"/>
      <c r="W112" s="2189"/>
      <c r="X112" s="2190"/>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87"/>
      <c r="C113" s="2188"/>
      <c r="D113" s="2188"/>
      <c r="E113" s="2188"/>
      <c r="F113" s="2188"/>
      <c r="G113" s="2188"/>
      <c r="H113" s="2188"/>
      <c r="I113" s="2188"/>
      <c r="J113" s="2188"/>
      <c r="K113" s="2188"/>
      <c r="L113" s="2188"/>
      <c r="M113" s="2188"/>
      <c r="N113" s="2188"/>
      <c r="O113" s="2188"/>
      <c r="P113" s="2188"/>
      <c r="Q113" s="2188"/>
      <c r="R113" s="2188"/>
      <c r="S113" s="2188"/>
      <c r="T113" s="2188"/>
      <c r="U113" s="2191"/>
      <c r="V113" s="2191"/>
      <c r="W113" s="2191"/>
      <c r="X113" s="2192"/>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87"/>
      <c r="C114" s="2188"/>
      <c r="D114" s="2188"/>
      <c r="E114" s="2188"/>
      <c r="F114" s="2188"/>
      <c r="G114" s="2188"/>
      <c r="H114" s="2188"/>
      <c r="I114" s="2188"/>
      <c r="J114" s="2188"/>
      <c r="K114" s="2188"/>
      <c r="L114" s="2188"/>
      <c r="M114" s="2188"/>
      <c r="N114" s="2188"/>
      <c r="O114" s="2188"/>
      <c r="P114" s="2188"/>
      <c r="Q114" s="2188"/>
      <c r="R114" s="2188"/>
      <c r="S114" s="2188"/>
      <c r="T114" s="2188"/>
      <c r="U114" s="2191"/>
      <c r="V114" s="2191"/>
      <c r="W114" s="2191"/>
      <c r="X114" s="2192"/>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87"/>
      <c r="C115" s="2188"/>
      <c r="D115" s="2188"/>
      <c r="E115" s="2188"/>
      <c r="F115" s="2188"/>
      <c r="G115" s="2188"/>
      <c r="H115" s="2188"/>
      <c r="I115" s="2188"/>
      <c r="J115" s="2188"/>
      <c r="K115" s="2188"/>
      <c r="L115" s="2188"/>
      <c r="M115" s="2188"/>
      <c r="N115" s="2188"/>
      <c r="O115" s="2188"/>
      <c r="P115" s="2188"/>
      <c r="Q115" s="2188"/>
      <c r="R115" s="2188"/>
      <c r="S115" s="2188"/>
      <c r="T115" s="2188"/>
      <c r="U115" s="2191"/>
      <c r="V115" s="2191"/>
      <c r="W115" s="2191"/>
      <c r="X115" s="2192"/>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93" t="s">
        <v>2613</v>
      </c>
      <c r="C116" s="2194"/>
      <c r="D116" s="2194"/>
      <c r="E116" s="2194"/>
      <c r="F116" s="2194"/>
      <c r="G116" s="2194"/>
      <c r="H116" s="2194"/>
      <c r="I116" s="2194"/>
      <c r="J116" s="2194"/>
      <c r="K116" s="2194"/>
      <c r="L116" s="2194"/>
      <c r="M116" s="2194"/>
      <c r="N116" s="2194"/>
      <c r="O116" s="2194"/>
      <c r="P116" s="2194"/>
      <c r="Q116" s="2194"/>
      <c r="R116" s="2194"/>
      <c r="S116" s="2194"/>
      <c r="T116" s="2194"/>
      <c r="U116" s="2197" t="s">
        <v>543</v>
      </c>
      <c r="V116" s="2197"/>
      <c r="W116" s="2197"/>
      <c r="X116" s="2198"/>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95"/>
      <c r="C117" s="2196"/>
      <c r="D117" s="2196"/>
      <c r="E117" s="2196"/>
      <c r="F117" s="2196"/>
      <c r="G117" s="2196"/>
      <c r="H117" s="2196"/>
      <c r="I117" s="2196"/>
      <c r="J117" s="2196"/>
      <c r="K117" s="2196"/>
      <c r="L117" s="2196"/>
      <c r="M117" s="2196"/>
      <c r="N117" s="2196"/>
      <c r="O117" s="2196"/>
      <c r="P117" s="2196"/>
      <c r="Q117" s="2196"/>
      <c r="R117" s="2196"/>
      <c r="S117" s="2196"/>
      <c r="T117" s="2196"/>
      <c r="U117" s="2199"/>
      <c r="V117" s="2199"/>
      <c r="W117" s="2199"/>
      <c r="X117" s="2200"/>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66" t="s">
        <v>2296</v>
      </c>
      <c r="Y120" s="2167"/>
      <c r="Z120" s="2167"/>
      <c r="AA120" s="2167"/>
      <c r="AB120" s="2167"/>
      <c r="AC120" s="2167"/>
      <c r="AD120" s="2167"/>
      <c r="AE120" s="2167"/>
      <c r="AF120" s="2167"/>
      <c r="AG120" s="2167"/>
      <c r="AH120" s="2167"/>
      <c r="AI120" s="2167"/>
      <c r="AJ120" s="2167"/>
      <c r="AK120" s="2167"/>
      <c r="AL120" s="2167"/>
      <c r="AM120" s="2167"/>
      <c r="AN120" s="2167"/>
      <c r="AO120" s="2167"/>
      <c r="AP120" s="2167"/>
      <c r="AQ120" s="2167"/>
      <c r="AR120" s="2167"/>
      <c r="AS120" s="2167"/>
      <c r="AT120" s="2167"/>
      <c r="AU120" s="2167"/>
      <c r="AV120" s="2167"/>
      <c r="AW120" s="2167"/>
      <c r="AX120" s="2167"/>
      <c r="AY120" s="2167"/>
      <c r="AZ120" s="2167"/>
      <c r="BA120" s="2167"/>
      <c r="BB120" s="2167"/>
      <c r="BC120" s="2167"/>
      <c r="BD120" s="2207"/>
      <c r="BE120" s="1209"/>
    </row>
    <row r="121" spans="1:57" ht="15.75" customHeight="1">
      <c r="A121" s="1202"/>
      <c r="B121" s="2209" t="s">
        <v>1563</v>
      </c>
      <c r="C121" s="2210"/>
      <c r="D121" s="2210"/>
      <c r="E121" s="2210"/>
      <c r="F121" s="2210"/>
      <c r="G121" s="2210"/>
      <c r="H121" s="2210"/>
      <c r="I121" s="2210"/>
      <c r="J121" s="2210"/>
      <c r="K121" s="2210"/>
      <c r="L121" s="2210"/>
      <c r="M121" s="2210"/>
      <c r="N121" s="2210"/>
      <c r="O121" s="2210"/>
      <c r="P121" s="2210"/>
      <c r="Q121" s="2210"/>
      <c r="R121" s="2210"/>
      <c r="S121" s="2210"/>
      <c r="T121" s="2210"/>
      <c r="U121" s="2211"/>
      <c r="V121" s="1202"/>
      <c r="W121" s="1202"/>
      <c r="X121" s="2168"/>
      <c r="Y121" s="2169"/>
      <c r="Z121" s="2169"/>
      <c r="AA121" s="2169"/>
      <c r="AB121" s="2169"/>
      <c r="AC121" s="2169"/>
      <c r="AD121" s="2169"/>
      <c r="AE121" s="2169"/>
      <c r="AF121" s="2169"/>
      <c r="AG121" s="2169"/>
      <c r="AH121" s="2169"/>
      <c r="AI121" s="2169"/>
      <c r="AJ121" s="2169"/>
      <c r="AK121" s="2169"/>
      <c r="AL121" s="2169"/>
      <c r="AM121" s="2169"/>
      <c r="AN121" s="2169"/>
      <c r="AO121" s="2169"/>
      <c r="AP121" s="2169"/>
      <c r="AQ121" s="2169"/>
      <c r="AR121" s="2169"/>
      <c r="AS121" s="2169"/>
      <c r="AT121" s="2169"/>
      <c r="AU121" s="2169"/>
      <c r="AV121" s="2169"/>
      <c r="AW121" s="2169"/>
      <c r="AX121" s="2169"/>
      <c r="AY121" s="2169"/>
      <c r="AZ121" s="2169"/>
      <c r="BA121" s="2169"/>
      <c r="BB121" s="2169"/>
      <c r="BC121" s="2169"/>
      <c r="BD121" s="2208"/>
      <c r="BE121" s="1209"/>
    </row>
    <row r="122" spans="1:57" ht="15.75" customHeight="1">
      <c r="A122" s="1202"/>
      <c r="B122" s="2227"/>
      <c r="C122" s="2228"/>
      <c r="D122" s="2228"/>
      <c r="E122" s="2228"/>
      <c r="F122" s="2228"/>
      <c r="G122" s="2228"/>
      <c r="H122" s="2228"/>
      <c r="I122" s="2102" t="s">
        <v>2295</v>
      </c>
      <c r="J122" s="2102"/>
      <c r="K122" s="2102"/>
      <c r="L122" s="2102"/>
      <c r="M122" s="2102"/>
      <c r="N122" s="2102"/>
      <c r="O122" s="2231" t="s">
        <v>2294</v>
      </c>
      <c r="P122" s="2231"/>
      <c r="Q122" s="2231"/>
      <c r="R122" s="2231"/>
      <c r="S122" s="2231"/>
      <c r="T122" s="2231"/>
      <c r="U122" s="2232"/>
      <c r="V122" s="1202"/>
      <c r="W122" s="1202"/>
      <c r="X122" s="2149" t="s">
        <v>2264</v>
      </c>
      <c r="Y122" s="2150"/>
      <c r="Z122" s="2150"/>
      <c r="AA122" s="2150"/>
      <c r="AB122" s="2150"/>
      <c r="AC122" s="2150"/>
      <c r="AD122" s="2150"/>
      <c r="AE122" s="2150"/>
      <c r="AF122" s="2150"/>
      <c r="AG122" s="2150"/>
      <c r="AH122" s="2150"/>
      <c r="AI122" s="2150"/>
      <c r="AJ122" s="2150"/>
      <c r="AK122" s="2150"/>
      <c r="AL122" s="2150"/>
      <c r="AM122" s="2150"/>
      <c r="AN122" s="2150"/>
      <c r="AO122" s="2150"/>
      <c r="AP122" s="2150"/>
      <c r="AQ122" s="2150"/>
      <c r="AR122" s="2150"/>
      <c r="AS122" s="2150"/>
      <c r="AT122" s="2150"/>
      <c r="AU122" s="2150"/>
      <c r="AV122" s="2150"/>
      <c r="AW122" s="2150"/>
      <c r="AX122" s="2150"/>
      <c r="AY122" s="2150"/>
      <c r="AZ122" s="2150"/>
      <c r="BA122" s="2150"/>
      <c r="BB122" s="2150"/>
      <c r="BC122" s="2150"/>
      <c r="BD122" s="2151"/>
      <c r="BE122" s="1209"/>
    </row>
    <row r="123" spans="1:57" ht="15.75" customHeight="1">
      <c r="A123" s="1202"/>
      <c r="B123" s="2201" t="s">
        <v>2278</v>
      </c>
      <c r="C123" s="2202"/>
      <c r="D123" s="2202"/>
      <c r="E123" s="2202"/>
      <c r="F123" s="2202"/>
      <c r="G123" s="2202"/>
      <c r="H123" s="2202"/>
      <c r="I123" s="2179">
        <v>0</v>
      </c>
      <c r="J123" s="2179"/>
      <c r="K123" s="2179"/>
      <c r="L123" s="2179"/>
      <c r="M123" s="2179"/>
      <c r="N123" s="2179"/>
      <c r="O123" s="2179">
        <v>0</v>
      </c>
      <c r="P123" s="2179"/>
      <c r="Q123" s="2179"/>
      <c r="R123" s="2179"/>
      <c r="S123" s="2179"/>
      <c r="T123" s="2179"/>
      <c r="U123" s="2180"/>
      <c r="V123" s="1202"/>
      <c r="W123" s="1202"/>
      <c r="X123" s="2149"/>
      <c r="Y123" s="2150"/>
      <c r="Z123" s="2150"/>
      <c r="AA123" s="2150"/>
      <c r="AB123" s="2150"/>
      <c r="AC123" s="2150"/>
      <c r="AD123" s="2150"/>
      <c r="AE123" s="2150"/>
      <c r="AF123" s="2150"/>
      <c r="AG123" s="2150"/>
      <c r="AH123" s="2150"/>
      <c r="AI123" s="2150"/>
      <c r="AJ123" s="2150"/>
      <c r="AK123" s="2150"/>
      <c r="AL123" s="2150"/>
      <c r="AM123" s="2150"/>
      <c r="AN123" s="2150"/>
      <c r="AO123" s="2150"/>
      <c r="AP123" s="2150"/>
      <c r="AQ123" s="2150"/>
      <c r="AR123" s="2150"/>
      <c r="AS123" s="2150"/>
      <c r="AT123" s="2150"/>
      <c r="AU123" s="2150"/>
      <c r="AV123" s="2150"/>
      <c r="AW123" s="2150"/>
      <c r="AX123" s="2150"/>
      <c r="AY123" s="2150"/>
      <c r="AZ123" s="2150"/>
      <c r="BA123" s="2150"/>
      <c r="BB123" s="2150"/>
      <c r="BC123" s="2150"/>
      <c r="BD123" s="2151"/>
      <c r="BE123" s="1209"/>
    </row>
    <row r="124" spans="1:57" ht="15.75" customHeight="1" thickBot="1">
      <c r="A124" s="1202"/>
      <c r="B124" s="2203" t="s">
        <v>2277</v>
      </c>
      <c r="C124" s="2204"/>
      <c r="D124" s="2204"/>
      <c r="E124" s="2204"/>
      <c r="F124" s="2204"/>
      <c r="G124" s="2204"/>
      <c r="H124" s="2204"/>
      <c r="I124" s="2177">
        <v>0</v>
      </c>
      <c r="J124" s="2177"/>
      <c r="K124" s="2177"/>
      <c r="L124" s="2177"/>
      <c r="M124" s="2177"/>
      <c r="N124" s="2177"/>
      <c r="O124" s="2205"/>
      <c r="P124" s="2205"/>
      <c r="Q124" s="2205"/>
      <c r="R124" s="2205"/>
      <c r="S124" s="2205"/>
      <c r="T124" s="2205"/>
      <c r="U124" s="2206"/>
      <c r="V124" s="1202"/>
      <c r="W124" s="1202"/>
      <c r="X124" s="2149"/>
      <c r="Y124" s="2150"/>
      <c r="Z124" s="2150"/>
      <c r="AA124" s="2150"/>
      <c r="AB124" s="2150"/>
      <c r="AC124" s="2150"/>
      <c r="AD124" s="2150"/>
      <c r="AE124" s="2150"/>
      <c r="AF124" s="2150"/>
      <c r="AG124" s="2150"/>
      <c r="AH124" s="2150"/>
      <c r="AI124" s="2150"/>
      <c r="AJ124" s="2150"/>
      <c r="AK124" s="2150"/>
      <c r="AL124" s="2150"/>
      <c r="AM124" s="2150"/>
      <c r="AN124" s="2150"/>
      <c r="AO124" s="2150"/>
      <c r="AP124" s="2150"/>
      <c r="AQ124" s="2150"/>
      <c r="AR124" s="2150"/>
      <c r="AS124" s="2150"/>
      <c r="AT124" s="2150"/>
      <c r="AU124" s="2150"/>
      <c r="AV124" s="2150"/>
      <c r="AW124" s="2150"/>
      <c r="AX124" s="2150"/>
      <c r="AY124" s="2150"/>
      <c r="AZ124" s="2150"/>
      <c r="BA124" s="2150"/>
      <c r="BB124" s="2150"/>
      <c r="BC124" s="2150"/>
      <c r="BD124" s="2151"/>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149"/>
      <c r="Y125" s="2150"/>
      <c r="Z125" s="2150"/>
      <c r="AA125" s="2150"/>
      <c r="AB125" s="2150"/>
      <c r="AC125" s="2150"/>
      <c r="AD125" s="2150"/>
      <c r="AE125" s="2150"/>
      <c r="AF125" s="2150"/>
      <c r="AG125" s="2150"/>
      <c r="AH125" s="2150"/>
      <c r="AI125" s="2150"/>
      <c r="AJ125" s="2150"/>
      <c r="AK125" s="2150"/>
      <c r="AL125" s="2150"/>
      <c r="AM125" s="2150"/>
      <c r="AN125" s="2150"/>
      <c r="AO125" s="2150"/>
      <c r="AP125" s="2150"/>
      <c r="AQ125" s="2150"/>
      <c r="AR125" s="2150"/>
      <c r="AS125" s="2150"/>
      <c r="AT125" s="2150"/>
      <c r="AU125" s="2150"/>
      <c r="AV125" s="2150"/>
      <c r="AW125" s="2150"/>
      <c r="AX125" s="2150"/>
      <c r="AY125" s="2150"/>
      <c r="AZ125" s="2150"/>
      <c r="BA125" s="2150"/>
      <c r="BB125" s="2150"/>
      <c r="BC125" s="2150"/>
      <c r="BD125" s="2151"/>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149"/>
      <c r="Y126" s="2150"/>
      <c r="Z126" s="2150"/>
      <c r="AA126" s="2150"/>
      <c r="AB126" s="2150"/>
      <c r="AC126" s="2150"/>
      <c r="AD126" s="2150"/>
      <c r="AE126" s="2150"/>
      <c r="AF126" s="2150"/>
      <c r="AG126" s="2150"/>
      <c r="AH126" s="2150"/>
      <c r="AI126" s="2150"/>
      <c r="AJ126" s="2150"/>
      <c r="AK126" s="2150"/>
      <c r="AL126" s="2150"/>
      <c r="AM126" s="2150"/>
      <c r="AN126" s="2150"/>
      <c r="AO126" s="2150"/>
      <c r="AP126" s="2150"/>
      <c r="AQ126" s="2150"/>
      <c r="AR126" s="2150"/>
      <c r="AS126" s="2150"/>
      <c r="AT126" s="2150"/>
      <c r="AU126" s="2150"/>
      <c r="AV126" s="2150"/>
      <c r="AW126" s="2150"/>
      <c r="AX126" s="2150"/>
      <c r="AY126" s="2150"/>
      <c r="AZ126" s="2150"/>
      <c r="BA126" s="2150"/>
      <c r="BB126" s="2150"/>
      <c r="BC126" s="2150"/>
      <c r="BD126" s="2151"/>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149"/>
      <c r="Y127" s="2150"/>
      <c r="Z127" s="2150"/>
      <c r="AA127" s="2150"/>
      <c r="AB127" s="2150"/>
      <c r="AC127" s="2150"/>
      <c r="AD127" s="2150"/>
      <c r="AE127" s="2150"/>
      <c r="AF127" s="2150"/>
      <c r="AG127" s="2150"/>
      <c r="AH127" s="2150"/>
      <c r="AI127" s="2150"/>
      <c r="AJ127" s="2150"/>
      <c r="AK127" s="2150"/>
      <c r="AL127" s="2150"/>
      <c r="AM127" s="2150"/>
      <c r="AN127" s="2150"/>
      <c r="AO127" s="2150"/>
      <c r="AP127" s="2150"/>
      <c r="AQ127" s="2150"/>
      <c r="AR127" s="2150"/>
      <c r="AS127" s="2150"/>
      <c r="AT127" s="2150"/>
      <c r="AU127" s="2150"/>
      <c r="AV127" s="2150"/>
      <c r="AW127" s="2150"/>
      <c r="AX127" s="2150"/>
      <c r="AY127" s="2150"/>
      <c r="AZ127" s="2150"/>
      <c r="BA127" s="2150"/>
      <c r="BB127" s="2150"/>
      <c r="BC127" s="2150"/>
      <c r="BD127" s="2151"/>
      <c r="BE127" s="1209"/>
    </row>
    <row r="128" spans="1:57" ht="15.75" customHeight="1">
      <c r="A128" s="1202"/>
      <c r="B128" s="2003" t="s">
        <v>2292</v>
      </c>
      <c r="C128" s="2004"/>
      <c r="D128" s="2004"/>
      <c r="E128" s="2004"/>
      <c r="F128" s="2004"/>
      <c r="G128" s="2004"/>
      <c r="H128" s="2004"/>
      <c r="I128" s="2004"/>
      <c r="J128" s="2004"/>
      <c r="K128" s="2004"/>
      <c r="L128" s="2004"/>
      <c r="M128" s="2004"/>
      <c r="N128" s="2004"/>
      <c r="O128" s="2004"/>
      <c r="P128" s="2004"/>
      <c r="Q128" s="2004"/>
      <c r="R128" s="2004"/>
      <c r="S128" s="2004"/>
      <c r="T128" s="2004"/>
      <c r="U128" s="2005"/>
      <c r="V128" s="1202"/>
      <c r="W128" s="1202"/>
      <c r="X128" s="2149"/>
      <c r="Y128" s="2150"/>
      <c r="Z128" s="2150"/>
      <c r="AA128" s="2150"/>
      <c r="AB128" s="2150"/>
      <c r="AC128" s="2150"/>
      <c r="AD128" s="2150"/>
      <c r="AE128" s="2150"/>
      <c r="AF128" s="2150"/>
      <c r="AG128" s="2150"/>
      <c r="AH128" s="2150"/>
      <c r="AI128" s="2150"/>
      <c r="AJ128" s="2150"/>
      <c r="AK128" s="2150"/>
      <c r="AL128" s="2150"/>
      <c r="AM128" s="2150"/>
      <c r="AN128" s="2150"/>
      <c r="AO128" s="2150"/>
      <c r="AP128" s="2150"/>
      <c r="AQ128" s="2150"/>
      <c r="AR128" s="2150"/>
      <c r="AS128" s="2150"/>
      <c r="AT128" s="2150"/>
      <c r="AU128" s="2150"/>
      <c r="AV128" s="2150"/>
      <c r="AW128" s="2150"/>
      <c r="AX128" s="2150"/>
      <c r="AY128" s="2150"/>
      <c r="AZ128" s="2150"/>
      <c r="BA128" s="2150"/>
      <c r="BB128" s="2150"/>
      <c r="BC128" s="2150"/>
      <c r="BD128" s="2151"/>
      <c r="BE128" s="1209"/>
    </row>
    <row r="129" spans="1:57" ht="15.75" customHeight="1">
      <c r="A129" s="1202"/>
      <c r="B129" s="2227"/>
      <c r="C129" s="2228"/>
      <c r="D129" s="2228"/>
      <c r="E129" s="2228"/>
      <c r="F129" s="2228"/>
      <c r="G129" s="2228"/>
      <c r="H129" s="2228"/>
      <c r="I129" s="2229" t="s">
        <v>2280</v>
      </c>
      <c r="J129" s="2229"/>
      <c r="K129" s="2229"/>
      <c r="L129" s="2229"/>
      <c r="M129" s="2229"/>
      <c r="N129" s="2229"/>
      <c r="O129" s="2229"/>
      <c r="P129" s="2229" t="s">
        <v>2279</v>
      </c>
      <c r="Q129" s="2229"/>
      <c r="R129" s="2229"/>
      <c r="S129" s="2229"/>
      <c r="T129" s="2229"/>
      <c r="U129" s="2230"/>
      <c r="V129" s="1202"/>
      <c r="W129" s="1202"/>
      <c r="X129" s="2149"/>
      <c r="Y129" s="2150"/>
      <c r="Z129" s="2150"/>
      <c r="AA129" s="2150"/>
      <c r="AB129" s="2150"/>
      <c r="AC129" s="2150"/>
      <c r="AD129" s="2150"/>
      <c r="AE129" s="2150"/>
      <c r="AF129" s="2150"/>
      <c r="AG129" s="2150"/>
      <c r="AH129" s="2150"/>
      <c r="AI129" s="2150"/>
      <c r="AJ129" s="2150"/>
      <c r="AK129" s="2150"/>
      <c r="AL129" s="2150"/>
      <c r="AM129" s="2150"/>
      <c r="AN129" s="2150"/>
      <c r="AO129" s="2150"/>
      <c r="AP129" s="2150"/>
      <c r="AQ129" s="2150"/>
      <c r="AR129" s="2150"/>
      <c r="AS129" s="2150"/>
      <c r="AT129" s="2150"/>
      <c r="AU129" s="2150"/>
      <c r="AV129" s="2150"/>
      <c r="AW129" s="2150"/>
      <c r="AX129" s="2150"/>
      <c r="AY129" s="2150"/>
      <c r="AZ129" s="2150"/>
      <c r="BA129" s="2150"/>
      <c r="BB129" s="2150"/>
      <c r="BC129" s="2150"/>
      <c r="BD129" s="2151"/>
      <c r="BE129" s="1209"/>
    </row>
    <row r="130" spans="1:57" ht="15.75" customHeight="1">
      <c r="A130" s="1202"/>
      <c r="B130" s="2227"/>
      <c r="C130" s="2228"/>
      <c r="D130" s="2228"/>
      <c r="E130" s="2228"/>
      <c r="F130" s="2228"/>
      <c r="G130" s="2228"/>
      <c r="H130" s="2228"/>
      <c r="I130" s="2229"/>
      <c r="J130" s="2229"/>
      <c r="K130" s="2229"/>
      <c r="L130" s="2229"/>
      <c r="M130" s="2229"/>
      <c r="N130" s="2229"/>
      <c r="O130" s="2229"/>
      <c r="P130" s="2229"/>
      <c r="Q130" s="2229"/>
      <c r="R130" s="2229"/>
      <c r="S130" s="2229"/>
      <c r="T130" s="2229"/>
      <c r="U130" s="2230"/>
      <c r="V130" s="1202"/>
      <c r="W130" s="1202"/>
      <c r="X130" s="2149"/>
      <c r="Y130" s="2150"/>
      <c r="Z130" s="2150"/>
      <c r="AA130" s="2150"/>
      <c r="AB130" s="2150"/>
      <c r="AC130" s="2150"/>
      <c r="AD130" s="2150"/>
      <c r="AE130" s="2150"/>
      <c r="AF130" s="2150"/>
      <c r="AG130" s="2150"/>
      <c r="AH130" s="2150"/>
      <c r="AI130" s="2150"/>
      <c r="AJ130" s="2150"/>
      <c r="AK130" s="2150"/>
      <c r="AL130" s="2150"/>
      <c r="AM130" s="2150"/>
      <c r="AN130" s="2150"/>
      <c r="AO130" s="2150"/>
      <c r="AP130" s="2150"/>
      <c r="AQ130" s="2150"/>
      <c r="AR130" s="2150"/>
      <c r="AS130" s="2150"/>
      <c r="AT130" s="2150"/>
      <c r="AU130" s="2150"/>
      <c r="AV130" s="2150"/>
      <c r="AW130" s="2150"/>
      <c r="AX130" s="2150"/>
      <c r="AY130" s="2150"/>
      <c r="AZ130" s="2150"/>
      <c r="BA130" s="2150"/>
      <c r="BB130" s="2150"/>
      <c r="BC130" s="2150"/>
      <c r="BD130" s="2151"/>
      <c r="BE130" s="1209"/>
    </row>
    <row r="131" spans="1:57" ht="15.75" customHeight="1">
      <c r="A131" s="1202"/>
      <c r="B131" s="2201" t="s">
        <v>2278</v>
      </c>
      <c r="C131" s="2202"/>
      <c r="D131" s="2202"/>
      <c r="E131" s="2202"/>
      <c r="F131" s="2202"/>
      <c r="G131" s="2202"/>
      <c r="H131" s="2202"/>
      <c r="I131" s="2179">
        <v>0</v>
      </c>
      <c r="J131" s="2179"/>
      <c r="K131" s="2179"/>
      <c r="L131" s="2179"/>
      <c r="M131" s="2179"/>
      <c r="N131" s="2179"/>
      <c r="O131" s="2179"/>
      <c r="P131" s="2179">
        <v>0</v>
      </c>
      <c r="Q131" s="2179"/>
      <c r="R131" s="2179"/>
      <c r="S131" s="2179"/>
      <c r="T131" s="2179"/>
      <c r="U131" s="2180"/>
      <c r="V131" s="1202"/>
      <c r="W131" s="1202"/>
      <c r="X131" s="2149"/>
      <c r="Y131" s="2150"/>
      <c r="Z131" s="2150"/>
      <c r="AA131" s="2150"/>
      <c r="AB131" s="2150"/>
      <c r="AC131" s="2150"/>
      <c r="AD131" s="2150"/>
      <c r="AE131" s="2150"/>
      <c r="AF131" s="2150"/>
      <c r="AG131" s="2150"/>
      <c r="AH131" s="2150"/>
      <c r="AI131" s="2150"/>
      <c r="AJ131" s="2150"/>
      <c r="AK131" s="2150"/>
      <c r="AL131" s="2150"/>
      <c r="AM131" s="2150"/>
      <c r="AN131" s="2150"/>
      <c r="AO131" s="2150"/>
      <c r="AP131" s="2150"/>
      <c r="AQ131" s="2150"/>
      <c r="AR131" s="2150"/>
      <c r="AS131" s="2150"/>
      <c r="AT131" s="2150"/>
      <c r="AU131" s="2150"/>
      <c r="AV131" s="2150"/>
      <c r="AW131" s="2150"/>
      <c r="AX131" s="2150"/>
      <c r="AY131" s="2150"/>
      <c r="AZ131" s="2150"/>
      <c r="BA131" s="2150"/>
      <c r="BB131" s="2150"/>
      <c r="BC131" s="2150"/>
      <c r="BD131" s="2151"/>
      <c r="BE131" s="1209"/>
    </row>
    <row r="132" spans="1:57" ht="15.75" customHeight="1" thickBot="1">
      <c r="A132" s="1202"/>
      <c r="B132" s="2203" t="s">
        <v>2277</v>
      </c>
      <c r="C132" s="2204"/>
      <c r="D132" s="2204"/>
      <c r="E132" s="2204"/>
      <c r="F132" s="2204"/>
      <c r="G132" s="2204"/>
      <c r="H132" s="2204"/>
      <c r="I132" s="2177">
        <v>0</v>
      </c>
      <c r="J132" s="2177"/>
      <c r="K132" s="2177"/>
      <c r="L132" s="2177"/>
      <c r="M132" s="2177"/>
      <c r="N132" s="2177"/>
      <c r="O132" s="2177"/>
      <c r="P132" s="2177">
        <v>0</v>
      </c>
      <c r="Q132" s="2177"/>
      <c r="R132" s="2177"/>
      <c r="S132" s="2177"/>
      <c r="T132" s="2177"/>
      <c r="U132" s="2178"/>
      <c r="V132" s="1202"/>
      <c r="W132" s="1202"/>
      <c r="X132" s="2152"/>
      <c r="Y132" s="2153"/>
      <c r="Z132" s="2153"/>
      <c r="AA132" s="2153"/>
      <c r="AB132" s="2153"/>
      <c r="AC132" s="2153"/>
      <c r="AD132" s="2153"/>
      <c r="AE132" s="2153"/>
      <c r="AF132" s="2153"/>
      <c r="AG132" s="2153"/>
      <c r="AH132" s="2153"/>
      <c r="AI132" s="2153"/>
      <c r="AJ132" s="2153"/>
      <c r="AK132" s="2153"/>
      <c r="AL132" s="2153"/>
      <c r="AM132" s="2153"/>
      <c r="AN132" s="2153"/>
      <c r="AO132" s="2153"/>
      <c r="AP132" s="2153"/>
      <c r="AQ132" s="2153"/>
      <c r="AR132" s="2153"/>
      <c r="AS132" s="2153"/>
      <c r="AT132" s="2153"/>
      <c r="AU132" s="2153"/>
      <c r="AV132" s="2153"/>
      <c r="AW132" s="2153"/>
      <c r="AX132" s="2153"/>
      <c r="AY132" s="2153"/>
      <c r="AZ132" s="2153"/>
      <c r="BA132" s="2153"/>
      <c r="BB132" s="2153"/>
      <c r="BC132" s="2153"/>
      <c r="BD132" s="2154"/>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225" t="s">
        <v>2291</v>
      </c>
      <c r="C134" s="2226"/>
      <c r="D134" s="2226"/>
      <c r="E134" s="2226"/>
      <c r="F134" s="2226"/>
      <c r="G134" s="2226"/>
      <c r="H134" s="2226"/>
      <c r="I134" s="2226"/>
      <c r="J134" s="2226"/>
      <c r="K134" s="2226"/>
      <c r="L134" s="2226"/>
      <c r="M134" s="2226"/>
      <c r="N134" s="2226"/>
      <c r="O134" s="2226"/>
      <c r="P134" s="2226"/>
      <c r="Q134" s="2226"/>
      <c r="R134" s="2226"/>
      <c r="S134" s="2226"/>
      <c r="T134" s="2226"/>
      <c r="U134" s="2226"/>
      <c r="V134" s="2226"/>
      <c r="W134" s="2226"/>
      <c r="X134" s="2226"/>
      <c r="Y134" s="2226"/>
      <c r="Z134" s="2226"/>
      <c r="AA134" s="2226"/>
      <c r="AB134" s="2226"/>
      <c r="AC134" s="2226"/>
      <c r="AD134" s="2226"/>
      <c r="AE134" s="2226"/>
      <c r="AF134" s="2226"/>
      <c r="AG134" s="2226"/>
      <c r="AH134" s="2126" t="s">
        <v>543</v>
      </c>
      <c r="AI134" s="2126"/>
      <c r="AJ134" s="2126"/>
      <c r="AK134" s="2126"/>
      <c r="AL134" s="2126"/>
      <c r="AM134" s="2126"/>
      <c r="AN134" s="2126"/>
      <c r="AO134" s="2126"/>
      <c r="AP134" s="2126"/>
      <c r="AQ134" s="2126"/>
      <c r="AR134" s="2126"/>
      <c r="AS134" s="2126"/>
      <c r="AT134" s="2126"/>
      <c r="AU134" s="2126"/>
      <c r="AV134" s="2126"/>
      <c r="AW134" s="2126"/>
      <c r="AX134" s="2127"/>
      <c r="AY134" s="1202"/>
      <c r="AZ134" s="1202"/>
      <c r="BA134" s="1202"/>
      <c r="BB134" s="1202"/>
      <c r="BC134" s="1202"/>
      <c r="BD134" s="1202"/>
      <c r="BE134" s="1209"/>
    </row>
    <row r="135" spans="1:57" ht="15.75" customHeight="1" thickBot="1">
      <c r="A135" s="1202"/>
      <c r="B135" s="2212" t="s">
        <v>2290</v>
      </c>
      <c r="C135" s="2213"/>
      <c r="D135" s="2213"/>
      <c r="E135" s="2213"/>
      <c r="F135" s="2213"/>
      <c r="G135" s="2213"/>
      <c r="H135" s="2213"/>
      <c r="I135" s="2213"/>
      <c r="J135" s="2213"/>
      <c r="K135" s="2213"/>
      <c r="L135" s="2213"/>
      <c r="M135" s="2213"/>
      <c r="N135" s="2213"/>
      <c r="O135" s="2213"/>
      <c r="P135" s="2213"/>
      <c r="Q135" s="2213"/>
      <c r="R135" s="2213"/>
      <c r="S135" s="2213"/>
      <c r="T135" s="2213"/>
      <c r="U135" s="2213"/>
      <c r="V135" s="2213"/>
      <c r="W135" s="2213"/>
      <c r="X135" s="2213"/>
      <c r="Y135" s="2213"/>
      <c r="Z135" s="2213"/>
      <c r="AA135" s="2213"/>
      <c r="AB135" s="2213"/>
      <c r="AC135" s="2213"/>
      <c r="AD135" s="2213"/>
      <c r="AE135" s="2213"/>
      <c r="AF135" s="2213"/>
      <c r="AG135" s="2214"/>
      <c r="AH135" s="2181"/>
      <c r="AI135" s="2182"/>
      <c r="AJ135" s="2182"/>
      <c r="AK135" s="2182"/>
      <c r="AL135" s="2182"/>
      <c r="AM135" s="2182"/>
      <c r="AN135" s="2182"/>
      <c r="AO135" s="2182"/>
      <c r="AP135" s="2182"/>
      <c r="AQ135" s="2182"/>
      <c r="AR135" s="2182"/>
      <c r="AS135" s="2182"/>
      <c r="AT135" s="2182"/>
      <c r="AU135" s="2182"/>
      <c r="AV135" s="2182"/>
      <c r="AW135" s="2182"/>
      <c r="AX135" s="2183"/>
      <c r="AY135" s="1202"/>
      <c r="AZ135" s="1202"/>
      <c r="BA135" s="1202"/>
      <c r="BB135" s="1202"/>
      <c r="BC135" s="1202"/>
      <c r="BD135" s="1202"/>
      <c r="BE135" s="1209"/>
    </row>
    <row r="136" spans="1:57" ht="15.75" customHeight="1">
      <c r="A136" s="1202"/>
      <c r="B136" s="2212" t="s">
        <v>2289</v>
      </c>
      <c r="C136" s="2213"/>
      <c r="D136" s="2213"/>
      <c r="E136" s="2213"/>
      <c r="F136" s="2213"/>
      <c r="G136" s="2213"/>
      <c r="H136" s="2213"/>
      <c r="I136" s="2213"/>
      <c r="J136" s="2213"/>
      <c r="K136" s="2213"/>
      <c r="L136" s="2213"/>
      <c r="M136" s="2213"/>
      <c r="N136" s="2213"/>
      <c r="O136" s="2213"/>
      <c r="P136" s="2213"/>
      <c r="Q136" s="2213"/>
      <c r="R136" s="2213"/>
      <c r="S136" s="2213"/>
      <c r="T136" s="2213"/>
      <c r="U136" s="2213"/>
      <c r="V136" s="2213"/>
      <c r="W136" s="2213"/>
      <c r="X136" s="2213"/>
      <c r="Y136" s="2213"/>
      <c r="Z136" s="2213"/>
      <c r="AA136" s="2213"/>
      <c r="AB136" s="2213"/>
      <c r="AC136" s="2213"/>
      <c r="AD136" s="2213"/>
      <c r="AE136" s="2213"/>
      <c r="AF136" s="2213"/>
      <c r="AG136" s="2214"/>
      <c r="AH136" s="2126" t="s">
        <v>543</v>
      </c>
      <c r="AI136" s="2126"/>
      <c r="AJ136" s="2126"/>
      <c r="AK136" s="2126"/>
      <c r="AL136" s="2126"/>
      <c r="AM136" s="2126"/>
      <c r="AN136" s="2126"/>
      <c r="AO136" s="2126"/>
      <c r="AP136" s="2126"/>
      <c r="AQ136" s="2126"/>
      <c r="AR136" s="2126"/>
      <c r="AS136" s="2126"/>
      <c r="AT136" s="2126"/>
      <c r="AU136" s="2126"/>
      <c r="AV136" s="2126"/>
      <c r="AW136" s="2126"/>
      <c r="AX136" s="2127"/>
      <c r="AY136" s="1202"/>
      <c r="AZ136" s="1202"/>
      <c r="BA136" s="1202"/>
      <c r="BB136" s="1202"/>
      <c r="BC136" s="1202"/>
      <c r="BD136" s="1202"/>
      <c r="BE136" s="1209"/>
    </row>
    <row r="137" spans="1:57" ht="15.75" customHeight="1">
      <c r="A137" s="1202"/>
      <c r="B137" s="2215" t="s">
        <v>2288</v>
      </c>
      <c r="C137" s="2216"/>
      <c r="D137" s="2216"/>
      <c r="E137" s="2216"/>
      <c r="F137" s="2216"/>
      <c r="G137" s="2216"/>
      <c r="H137" s="2216"/>
      <c r="I137" s="2216"/>
      <c r="J137" s="2216"/>
      <c r="K137" s="2216"/>
      <c r="L137" s="2216"/>
      <c r="M137" s="2216"/>
      <c r="N137" s="2216"/>
      <c r="O137" s="2216"/>
      <c r="P137" s="2216"/>
      <c r="Q137" s="2216"/>
      <c r="R137" s="2217" t="s">
        <v>2287</v>
      </c>
      <c r="S137" s="2217"/>
      <c r="T137" s="2217"/>
      <c r="U137" s="2217"/>
      <c r="V137" s="2217"/>
      <c r="W137" s="2217"/>
      <c r="X137" s="2217"/>
      <c r="Y137" s="2217"/>
      <c r="Z137" s="2217"/>
      <c r="AA137" s="2217"/>
      <c r="AB137" s="2217"/>
      <c r="AC137" s="2217"/>
      <c r="AD137" s="2217"/>
      <c r="AE137" s="2217"/>
      <c r="AF137" s="2217"/>
      <c r="AG137" s="2217"/>
      <c r="AH137" s="2217"/>
      <c r="AI137" s="2217"/>
      <c r="AJ137" s="2217"/>
      <c r="AK137" s="2217"/>
      <c r="AL137" s="2217"/>
      <c r="AM137" s="2217"/>
      <c r="AN137" s="2217"/>
      <c r="AO137" s="2217"/>
      <c r="AP137" s="2217"/>
      <c r="AQ137" s="2217"/>
      <c r="AR137" s="2217"/>
      <c r="AS137" s="2217"/>
      <c r="AT137" s="2217"/>
      <c r="AU137" s="2217"/>
      <c r="AV137" s="2217"/>
      <c r="AW137" s="2217"/>
      <c r="AX137" s="2218"/>
      <c r="AY137" s="1202"/>
      <c r="AZ137" s="1202"/>
      <c r="BA137" s="1202"/>
      <c r="BB137" s="1202"/>
      <c r="BC137" s="1202" t="s">
        <v>250</v>
      </c>
      <c r="BD137" s="1202"/>
      <c r="BE137" s="1209"/>
    </row>
    <row r="138" spans="1:57" ht="15.75" customHeight="1">
      <c r="A138" s="1202"/>
      <c r="B138" s="2219" t="s">
        <v>2286</v>
      </c>
      <c r="C138" s="2220"/>
      <c r="D138" s="2220"/>
      <c r="E138" s="2220"/>
      <c r="F138" s="2220"/>
      <c r="G138" s="2220"/>
      <c r="H138" s="2220"/>
      <c r="I138" s="2220"/>
      <c r="J138" s="2220"/>
      <c r="K138" s="2220"/>
      <c r="L138" s="2220"/>
      <c r="M138" s="2220"/>
      <c r="N138" s="2220"/>
      <c r="O138" s="2220"/>
      <c r="P138" s="2220"/>
      <c r="Q138" s="2220"/>
      <c r="R138" s="2220"/>
      <c r="S138" s="2220"/>
      <c r="T138" s="2220"/>
      <c r="U138" s="2220"/>
      <c r="V138" s="2220"/>
      <c r="W138" s="2220"/>
      <c r="X138" s="2220"/>
      <c r="Y138" s="2220"/>
      <c r="Z138" s="2220"/>
      <c r="AA138" s="2220"/>
      <c r="AB138" s="2220"/>
      <c r="AC138" s="2220"/>
      <c r="AD138" s="2220"/>
      <c r="AE138" s="2220"/>
      <c r="AF138" s="2220"/>
      <c r="AG138" s="2220"/>
      <c r="AH138" s="2220"/>
      <c r="AI138" s="2220"/>
      <c r="AJ138" s="2220"/>
      <c r="AK138" s="2220"/>
      <c r="AL138" s="2220"/>
      <c r="AM138" s="2220"/>
      <c r="AN138" s="2220"/>
      <c r="AO138" s="2220"/>
      <c r="AP138" s="2220"/>
      <c r="AQ138" s="2220"/>
      <c r="AR138" s="2220"/>
      <c r="AS138" s="2220"/>
      <c r="AT138" s="2220"/>
      <c r="AU138" s="2220"/>
      <c r="AV138" s="2220"/>
      <c r="AW138" s="2220"/>
      <c r="AX138" s="2221"/>
      <c r="AY138" s="1202"/>
      <c r="AZ138" s="1202"/>
      <c r="BA138" s="1202"/>
      <c r="BB138" s="1202"/>
      <c r="BC138" s="1202"/>
      <c r="BD138" s="1202"/>
      <c r="BE138" s="1209"/>
    </row>
    <row r="139" spans="1:57" ht="15.75" customHeight="1">
      <c r="A139" s="1202"/>
      <c r="B139" s="2219"/>
      <c r="C139" s="2220"/>
      <c r="D139" s="2220"/>
      <c r="E139" s="2220"/>
      <c r="F139" s="2220"/>
      <c r="G139" s="2220"/>
      <c r="H139" s="2220"/>
      <c r="I139" s="2220"/>
      <c r="J139" s="2220"/>
      <c r="K139" s="2220"/>
      <c r="L139" s="2220"/>
      <c r="M139" s="2220"/>
      <c r="N139" s="2220"/>
      <c r="O139" s="2220"/>
      <c r="P139" s="2220"/>
      <c r="Q139" s="2220"/>
      <c r="R139" s="2220"/>
      <c r="S139" s="2220"/>
      <c r="T139" s="2220"/>
      <c r="U139" s="2220"/>
      <c r="V139" s="2220"/>
      <c r="W139" s="2220"/>
      <c r="X139" s="2220"/>
      <c r="Y139" s="2220"/>
      <c r="Z139" s="2220"/>
      <c r="AA139" s="2220"/>
      <c r="AB139" s="2220"/>
      <c r="AC139" s="2220"/>
      <c r="AD139" s="2220"/>
      <c r="AE139" s="2220"/>
      <c r="AF139" s="2220"/>
      <c r="AG139" s="2220"/>
      <c r="AH139" s="2220"/>
      <c r="AI139" s="2220"/>
      <c r="AJ139" s="2220"/>
      <c r="AK139" s="2220"/>
      <c r="AL139" s="2220"/>
      <c r="AM139" s="2220"/>
      <c r="AN139" s="2220"/>
      <c r="AO139" s="2220"/>
      <c r="AP139" s="2220"/>
      <c r="AQ139" s="2220"/>
      <c r="AR139" s="2220"/>
      <c r="AS139" s="2220"/>
      <c r="AT139" s="2220"/>
      <c r="AU139" s="2220"/>
      <c r="AV139" s="2220"/>
      <c r="AW139" s="2220"/>
      <c r="AX139" s="2221"/>
      <c r="AY139" s="1202"/>
      <c r="AZ139" s="1202"/>
      <c r="BA139" s="1202"/>
      <c r="BB139" s="1202"/>
      <c r="BC139" s="1202"/>
      <c r="BD139" s="1202"/>
      <c r="BE139" s="1209"/>
    </row>
    <row r="140" spans="1:57" ht="15.75" customHeight="1">
      <c r="A140" s="1202"/>
      <c r="B140" s="2219"/>
      <c r="C140" s="2220"/>
      <c r="D140" s="2220"/>
      <c r="E140" s="2220"/>
      <c r="F140" s="2220"/>
      <c r="G140" s="2220"/>
      <c r="H140" s="2220"/>
      <c r="I140" s="2220"/>
      <c r="J140" s="2220"/>
      <c r="K140" s="2220"/>
      <c r="L140" s="2220"/>
      <c r="M140" s="2220"/>
      <c r="N140" s="2220"/>
      <c r="O140" s="2220"/>
      <c r="P140" s="2220"/>
      <c r="Q140" s="2220"/>
      <c r="R140" s="2220"/>
      <c r="S140" s="2220"/>
      <c r="T140" s="2220"/>
      <c r="U140" s="2220"/>
      <c r="V140" s="2220"/>
      <c r="W140" s="2220"/>
      <c r="X140" s="2220"/>
      <c r="Y140" s="2220"/>
      <c r="Z140" s="2220"/>
      <c r="AA140" s="2220"/>
      <c r="AB140" s="2220"/>
      <c r="AC140" s="2220"/>
      <c r="AD140" s="2220"/>
      <c r="AE140" s="2220"/>
      <c r="AF140" s="2220"/>
      <c r="AG140" s="2220"/>
      <c r="AH140" s="2220"/>
      <c r="AI140" s="2220"/>
      <c r="AJ140" s="2220"/>
      <c r="AK140" s="2220"/>
      <c r="AL140" s="2220"/>
      <c r="AM140" s="2220"/>
      <c r="AN140" s="2220"/>
      <c r="AO140" s="2220"/>
      <c r="AP140" s="2220"/>
      <c r="AQ140" s="2220"/>
      <c r="AR140" s="2220"/>
      <c r="AS140" s="2220"/>
      <c r="AT140" s="2220"/>
      <c r="AU140" s="2220"/>
      <c r="AV140" s="2220"/>
      <c r="AW140" s="2220"/>
      <c r="AX140" s="2221"/>
      <c r="AY140" s="1202"/>
      <c r="AZ140" s="1202"/>
      <c r="BA140" s="1202"/>
      <c r="BB140" s="1202"/>
      <c r="BC140" s="1202"/>
      <c r="BD140" s="1202"/>
      <c r="BE140" s="1209"/>
    </row>
    <row r="141" spans="1:57" ht="15.75" customHeight="1">
      <c r="A141" s="1202"/>
      <c r="B141" s="2219"/>
      <c r="C141" s="2220"/>
      <c r="D141" s="2220"/>
      <c r="E141" s="2220"/>
      <c r="F141" s="2220"/>
      <c r="G141" s="2220"/>
      <c r="H141" s="2220"/>
      <c r="I141" s="2220"/>
      <c r="J141" s="2220"/>
      <c r="K141" s="2220"/>
      <c r="L141" s="2220"/>
      <c r="M141" s="2220"/>
      <c r="N141" s="2220"/>
      <c r="O141" s="2220"/>
      <c r="P141" s="2220"/>
      <c r="Q141" s="2220"/>
      <c r="R141" s="2220"/>
      <c r="S141" s="2220"/>
      <c r="T141" s="2220"/>
      <c r="U141" s="2220"/>
      <c r="V141" s="2220"/>
      <c r="W141" s="2220"/>
      <c r="X141" s="2220"/>
      <c r="Y141" s="2220"/>
      <c r="Z141" s="2220"/>
      <c r="AA141" s="2220"/>
      <c r="AB141" s="2220"/>
      <c r="AC141" s="2220"/>
      <c r="AD141" s="2220"/>
      <c r="AE141" s="2220"/>
      <c r="AF141" s="2220"/>
      <c r="AG141" s="2220"/>
      <c r="AH141" s="2220"/>
      <c r="AI141" s="2220"/>
      <c r="AJ141" s="2220"/>
      <c r="AK141" s="2220"/>
      <c r="AL141" s="2220"/>
      <c r="AM141" s="2220"/>
      <c r="AN141" s="2220"/>
      <c r="AO141" s="2220"/>
      <c r="AP141" s="2220"/>
      <c r="AQ141" s="2220"/>
      <c r="AR141" s="2220"/>
      <c r="AS141" s="2220"/>
      <c r="AT141" s="2220"/>
      <c r="AU141" s="2220"/>
      <c r="AV141" s="2220"/>
      <c r="AW141" s="2220"/>
      <c r="AX141" s="2221"/>
      <c r="AY141" s="1202"/>
      <c r="AZ141" s="1202"/>
      <c r="BA141" s="1202"/>
      <c r="BB141" s="1202"/>
      <c r="BC141" s="1202"/>
      <c r="BD141" s="1202"/>
      <c r="BE141" s="1209"/>
    </row>
    <row r="142" spans="1:57" ht="15.75" customHeight="1">
      <c r="A142" s="1202"/>
      <c r="B142" s="2219"/>
      <c r="C142" s="2220"/>
      <c r="D142" s="2220"/>
      <c r="E142" s="2220"/>
      <c r="F142" s="2220"/>
      <c r="G142" s="2220"/>
      <c r="H142" s="2220"/>
      <c r="I142" s="2220"/>
      <c r="J142" s="2220"/>
      <c r="K142" s="2220"/>
      <c r="L142" s="2220"/>
      <c r="M142" s="2220"/>
      <c r="N142" s="2220"/>
      <c r="O142" s="2220"/>
      <c r="P142" s="2220"/>
      <c r="Q142" s="2220"/>
      <c r="R142" s="2220"/>
      <c r="S142" s="2220"/>
      <c r="T142" s="2220"/>
      <c r="U142" s="2220"/>
      <c r="V142" s="2220"/>
      <c r="W142" s="2220"/>
      <c r="X142" s="2220"/>
      <c r="Y142" s="2220"/>
      <c r="Z142" s="2220"/>
      <c r="AA142" s="2220"/>
      <c r="AB142" s="2220"/>
      <c r="AC142" s="2220"/>
      <c r="AD142" s="2220"/>
      <c r="AE142" s="2220"/>
      <c r="AF142" s="2220"/>
      <c r="AG142" s="2220"/>
      <c r="AH142" s="2220"/>
      <c r="AI142" s="2220"/>
      <c r="AJ142" s="2220"/>
      <c r="AK142" s="2220"/>
      <c r="AL142" s="2220"/>
      <c r="AM142" s="2220"/>
      <c r="AN142" s="2220"/>
      <c r="AO142" s="2220"/>
      <c r="AP142" s="2220"/>
      <c r="AQ142" s="2220"/>
      <c r="AR142" s="2220"/>
      <c r="AS142" s="2220"/>
      <c r="AT142" s="2220"/>
      <c r="AU142" s="2220"/>
      <c r="AV142" s="2220"/>
      <c r="AW142" s="2220"/>
      <c r="AX142" s="2221"/>
      <c r="AY142" s="1202"/>
      <c r="AZ142" s="1202"/>
      <c r="BA142" s="1202"/>
      <c r="BB142" s="1202"/>
      <c r="BC142" s="1202"/>
      <c r="BD142" s="1202"/>
      <c r="BE142" s="1209"/>
    </row>
    <row r="143" spans="1:57" ht="15.75" customHeight="1">
      <c r="A143" s="1202"/>
      <c r="B143" s="2219"/>
      <c r="C143" s="2220"/>
      <c r="D143" s="2220"/>
      <c r="E143" s="2220"/>
      <c r="F143" s="2220"/>
      <c r="G143" s="2220"/>
      <c r="H143" s="2220"/>
      <c r="I143" s="2220"/>
      <c r="J143" s="2220"/>
      <c r="K143" s="2220"/>
      <c r="L143" s="2220"/>
      <c r="M143" s="2220"/>
      <c r="N143" s="2220"/>
      <c r="O143" s="2220"/>
      <c r="P143" s="2220"/>
      <c r="Q143" s="2220"/>
      <c r="R143" s="2220"/>
      <c r="S143" s="2220"/>
      <c r="T143" s="2220"/>
      <c r="U143" s="2220"/>
      <c r="V143" s="2220"/>
      <c r="W143" s="2220"/>
      <c r="X143" s="2220"/>
      <c r="Y143" s="2220"/>
      <c r="Z143" s="2220"/>
      <c r="AA143" s="2220"/>
      <c r="AB143" s="2220"/>
      <c r="AC143" s="2220"/>
      <c r="AD143" s="2220"/>
      <c r="AE143" s="2220"/>
      <c r="AF143" s="2220"/>
      <c r="AG143" s="2220"/>
      <c r="AH143" s="2220"/>
      <c r="AI143" s="2220"/>
      <c r="AJ143" s="2220"/>
      <c r="AK143" s="2220"/>
      <c r="AL143" s="2220"/>
      <c r="AM143" s="2220"/>
      <c r="AN143" s="2220"/>
      <c r="AO143" s="2220"/>
      <c r="AP143" s="2220"/>
      <c r="AQ143" s="2220"/>
      <c r="AR143" s="2220"/>
      <c r="AS143" s="2220"/>
      <c r="AT143" s="2220"/>
      <c r="AU143" s="2220"/>
      <c r="AV143" s="2220"/>
      <c r="AW143" s="2220"/>
      <c r="AX143" s="2221"/>
      <c r="AY143" s="1202"/>
      <c r="AZ143" s="1202"/>
      <c r="BA143" s="1202"/>
      <c r="BB143" s="1202"/>
      <c r="BC143" s="1202"/>
      <c r="BD143" s="1202"/>
      <c r="BE143" s="1209"/>
    </row>
    <row r="144" spans="1:57" ht="15.75" customHeight="1">
      <c r="A144" s="1202"/>
      <c r="B144" s="2219"/>
      <c r="C144" s="2220"/>
      <c r="D144" s="2220"/>
      <c r="E144" s="2220"/>
      <c r="F144" s="2220"/>
      <c r="G144" s="2220"/>
      <c r="H144" s="2220"/>
      <c r="I144" s="2220"/>
      <c r="J144" s="2220"/>
      <c r="K144" s="2220"/>
      <c r="L144" s="2220"/>
      <c r="M144" s="2220"/>
      <c r="N144" s="2220"/>
      <c r="O144" s="2220"/>
      <c r="P144" s="2220"/>
      <c r="Q144" s="2220"/>
      <c r="R144" s="2220"/>
      <c r="S144" s="2220"/>
      <c r="T144" s="2220"/>
      <c r="U144" s="2220"/>
      <c r="V144" s="2220"/>
      <c r="W144" s="2220"/>
      <c r="X144" s="2220"/>
      <c r="Y144" s="2220"/>
      <c r="Z144" s="2220"/>
      <c r="AA144" s="2220"/>
      <c r="AB144" s="2220"/>
      <c r="AC144" s="2220"/>
      <c r="AD144" s="2220"/>
      <c r="AE144" s="2220"/>
      <c r="AF144" s="2220"/>
      <c r="AG144" s="2220"/>
      <c r="AH144" s="2220"/>
      <c r="AI144" s="2220"/>
      <c r="AJ144" s="2220"/>
      <c r="AK144" s="2220"/>
      <c r="AL144" s="2220"/>
      <c r="AM144" s="2220"/>
      <c r="AN144" s="2220"/>
      <c r="AO144" s="2220"/>
      <c r="AP144" s="2220"/>
      <c r="AQ144" s="2220"/>
      <c r="AR144" s="2220"/>
      <c r="AS144" s="2220"/>
      <c r="AT144" s="2220"/>
      <c r="AU144" s="2220"/>
      <c r="AV144" s="2220"/>
      <c r="AW144" s="2220"/>
      <c r="AX144" s="2221"/>
      <c r="AY144" s="1202"/>
      <c r="AZ144" s="1202"/>
      <c r="BA144" s="1202"/>
      <c r="BB144" s="1202"/>
      <c r="BC144" s="1202"/>
      <c r="BD144" s="1202"/>
      <c r="BE144" s="1209"/>
    </row>
    <row r="145" spans="1:57" ht="15.75" customHeight="1">
      <c r="A145" s="1202"/>
      <c r="B145" s="2219"/>
      <c r="C145" s="2220"/>
      <c r="D145" s="2220"/>
      <c r="E145" s="2220"/>
      <c r="F145" s="2220"/>
      <c r="G145" s="2220"/>
      <c r="H145" s="2220"/>
      <c r="I145" s="2220"/>
      <c r="J145" s="2220"/>
      <c r="K145" s="2220"/>
      <c r="L145" s="2220"/>
      <c r="M145" s="2220"/>
      <c r="N145" s="2220"/>
      <c r="O145" s="2220"/>
      <c r="P145" s="2220"/>
      <c r="Q145" s="2220"/>
      <c r="R145" s="2220"/>
      <c r="S145" s="2220"/>
      <c r="T145" s="2220"/>
      <c r="U145" s="2220"/>
      <c r="V145" s="2220"/>
      <c r="W145" s="2220"/>
      <c r="X145" s="2220"/>
      <c r="Y145" s="2220"/>
      <c r="Z145" s="2220"/>
      <c r="AA145" s="2220"/>
      <c r="AB145" s="2220"/>
      <c r="AC145" s="2220"/>
      <c r="AD145" s="2220"/>
      <c r="AE145" s="2220"/>
      <c r="AF145" s="2220"/>
      <c r="AG145" s="2220"/>
      <c r="AH145" s="2220"/>
      <c r="AI145" s="2220"/>
      <c r="AJ145" s="2220"/>
      <c r="AK145" s="2220"/>
      <c r="AL145" s="2220"/>
      <c r="AM145" s="2220"/>
      <c r="AN145" s="2220"/>
      <c r="AO145" s="2220"/>
      <c r="AP145" s="2220"/>
      <c r="AQ145" s="2220"/>
      <c r="AR145" s="2220"/>
      <c r="AS145" s="2220"/>
      <c r="AT145" s="2220"/>
      <c r="AU145" s="2220"/>
      <c r="AV145" s="2220"/>
      <c r="AW145" s="2220"/>
      <c r="AX145" s="2221"/>
      <c r="AY145" s="1202"/>
      <c r="AZ145" s="1202"/>
      <c r="BA145" s="1202"/>
      <c r="BB145" s="1202"/>
      <c r="BC145" s="1202"/>
      <c r="BD145" s="1202"/>
      <c r="BE145" s="1209"/>
    </row>
    <row r="146" spans="1:57" ht="15.75" customHeight="1">
      <c r="A146" s="1202"/>
      <c r="B146" s="2219"/>
      <c r="C146" s="2220"/>
      <c r="D146" s="2220"/>
      <c r="E146" s="2220"/>
      <c r="F146" s="2220"/>
      <c r="G146" s="2220"/>
      <c r="H146" s="2220"/>
      <c r="I146" s="2220"/>
      <c r="J146" s="2220"/>
      <c r="K146" s="2220"/>
      <c r="L146" s="2220"/>
      <c r="M146" s="2220"/>
      <c r="N146" s="2220"/>
      <c r="O146" s="2220"/>
      <c r="P146" s="2220"/>
      <c r="Q146" s="2220"/>
      <c r="R146" s="2220"/>
      <c r="S146" s="2220"/>
      <c r="T146" s="2220"/>
      <c r="U146" s="2220"/>
      <c r="V146" s="2220"/>
      <c r="W146" s="2220"/>
      <c r="X146" s="2220"/>
      <c r="Y146" s="2220"/>
      <c r="Z146" s="2220"/>
      <c r="AA146" s="2220"/>
      <c r="AB146" s="2220"/>
      <c r="AC146" s="2220"/>
      <c r="AD146" s="2220"/>
      <c r="AE146" s="2220"/>
      <c r="AF146" s="2220"/>
      <c r="AG146" s="2220"/>
      <c r="AH146" s="2220"/>
      <c r="AI146" s="2220"/>
      <c r="AJ146" s="2220"/>
      <c r="AK146" s="2220"/>
      <c r="AL146" s="2220"/>
      <c r="AM146" s="2220"/>
      <c r="AN146" s="2220"/>
      <c r="AO146" s="2220"/>
      <c r="AP146" s="2220"/>
      <c r="AQ146" s="2220"/>
      <c r="AR146" s="2220"/>
      <c r="AS146" s="2220"/>
      <c r="AT146" s="2220"/>
      <c r="AU146" s="2220"/>
      <c r="AV146" s="2220"/>
      <c r="AW146" s="2220"/>
      <c r="AX146" s="2221"/>
      <c r="AY146" s="1202"/>
      <c r="AZ146" s="1202"/>
      <c r="BA146" s="1202"/>
      <c r="BB146" s="1202"/>
      <c r="BC146" s="1202"/>
      <c r="BD146" s="1202"/>
      <c r="BE146" s="1209"/>
    </row>
    <row r="147" spans="1:57" ht="15.75" customHeight="1" thickBot="1">
      <c r="A147" s="1202"/>
      <c r="B147" s="2222"/>
      <c r="C147" s="2223"/>
      <c r="D147" s="2223"/>
      <c r="E147" s="2223"/>
      <c r="F147" s="2223"/>
      <c r="G147" s="2223"/>
      <c r="H147" s="2223"/>
      <c r="I147" s="2223"/>
      <c r="J147" s="2223"/>
      <c r="K147" s="2223"/>
      <c r="L147" s="2223"/>
      <c r="M147" s="2223"/>
      <c r="N147" s="2223"/>
      <c r="O147" s="2223"/>
      <c r="P147" s="2223"/>
      <c r="Q147" s="2223"/>
      <c r="R147" s="2223"/>
      <c r="S147" s="2223"/>
      <c r="T147" s="2223"/>
      <c r="U147" s="2223"/>
      <c r="V147" s="2223"/>
      <c r="W147" s="2223"/>
      <c r="X147" s="2223"/>
      <c r="Y147" s="2223"/>
      <c r="Z147" s="2223"/>
      <c r="AA147" s="2223"/>
      <c r="AB147" s="2223"/>
      <c r="AC147" s="2223"/>
      <c r="AD147" s="2223"/>
      <c r="AE147" s="2223"/>
      <c r="AF147" s="2223"/>
      <c r="AG147" s="2223"/>
      <c r="AH147" s="2223"/>
      <c r="AI147" s="2223"/>
      <c r="AJ147" s="2223"/>
      <c r="AK147" s="2223"/>
      <c r="AL147" s="2223"/>
      <c r="AM147" s="2223"/>
      <c r="AN147" s="2223"/>
      <c r="AO147" s="2223"/>
      <c r="AP147" s="2223"/>
      <c r="AQ147" s="2223"/>
      <c r="AR147" s="2223"/>
      <c r="AS147" s="2223"/>
      <c r="AT147" s="2223"/>
      <c r="AU147" s="2223"/>
      <c r="AV147" s="2223"/>
      <c r="AW147" s="2223"/>
      <c r="AX147" s="2224"/>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8" t="s">
        <v>2283</v>
      </c>
      <c r="C151" s="2099"/>
      <c r="D151" s="2099"/>
      <c r="E151" s="2099"/>
      <c r="F151" s="2099"/>
      <c r="G151" s="2099"/>
      <c r="H151" s="2099"/>
      <c r="I151" s="2099"/>
      <c r="J151" s="2099"/>
      <c r="K151" s="2099"/>
      <c r="L151" s="2099"/>
      <c r="M151" s="2099"/>
      <c r="N151" s="2099"/>
      <c r="O151" s="2099"/>
      <c r="P151" s="2099"/>
      <c r="Q151" s="2099"/>
      <c r="R151" s="2099"/>
      <c r="S151" s="2099"/>
      <c r="T151" s="2099"/>
      <c r="U151" s="2100"/>
      <c r="V151" s="1202"/>
      <c r="W151" s="1203"/>
      <c r="X151" s="2098" t="s">
        <v>2282</v>
      </c>
      <c r="Y151" s="2099"/>
      <c r="Z151" s="2099"/>
      <c r="AA151" s="2099"/>
      <c r="AB151" s="2099"/>
      <c r="AC151" s="2099"/>
      <c r="AD151" s="2099"/>
      <c r="AE151" s="2099"/>
      <c r="AF151" s="2099"/>
      <c r="AG151" s="2099"/>
      <c r="AH151" s="2099"/>
      <c r="AI151" s="2099"/>
      <c r="AJ151" s="2099"/>
      <c r="AK151" s="2099"/>
      <c r="AL151" s="2099"/>
      <c r="AM151" s="2099"/>
      <c r="AN151" s="2099"/>
      <c r="AO151" s="2099"/>
      <c r="AP151" s="2099"/>
      <c r="AQ151" s="2100"/>
      <c r="AR151" s="1202"/>
      <c r="AS151" s="1202"/>
      <c r="AT151" s="1202"/>
      <c r="AU151" s="1202"/>
      <c r="AV151" s="1202"/>
      <c r="AW151" s="1202"/>
      <c r="AX151" s="1202"/>
      <c r="AY151" s="1202"/>
      <c r="AZ151" s="1202"/>
      <c r="BA151" s="1202"/>
      <c r="BB151" s="1202"/>
      <c r="BC151" s="1202"/>
      <c r="BD151" s="1202"/>
      <c r="BE151" s="1209"/>
    </row>
    <row r="152" spans="1:57" ht="15.75" customHeight="1">
      <c r="A152" s="1202"/>
      <c r="B152" s="2227"/>
      <c r="C152" s="2228"/>
      <c r="D152" s="2228"/>
      <c r="E152" s="2228"/>
      <c r="F152" s="2228"/>
      <c r="G152" s="2228"/>
      <c r="H152" s="2228"/>
      <c r="I152" s="2229" t="s">
        <v>2280</v>
      </c>
      <c r="J152" s="2229"/>
      <c r="K152" s="2229"/>
      <c r="L152" s="2229"/>
      <c r="M152" s="2229"/>
      <c r="N152" s="2229"/>
      <c r="O152" s="2229"/>
      <c r="P152" s="2229" t="s">
        <v>2281</v>
      </c>
      <c r="Q152" s="2229"/>
      <c r="R152" s="2229"/>
      <c r="S152" s="2229"/>
      <c r="T152" s="2229"/>
      <c r="U152" s="2230"/>
      <c r="V152" s="1202"/>
      <c r="W152" s="1202"/>
      <c r="X152" s="2227"/>
      <c r="Y152" s="2228"/>
      <c r="Z152" s="2228"/>
      <c r="AA152" s="2228"/>
      <c r="AB152" s="2228"/>
      <c r="AC152" s="2228"/>
      <c r="AD152" s="2228"/>
      <c r="AE152" s="2229" t="s">
        <v>2280</v>
      </c>
      <c r="AF152" s="2229"/>
      <c r="AG152" s="2229"/>
      <c r="AH152" s="2229"/>
      <c r="AI152" s="2229"/>
      <c r="AJ152" s="2229"/>
      <c r="AK152" s="2229"/>
      <c r="AL152" s="2229" t="s">
        <v>2279</v>
      </c>
      <c r="AM152" s="2229"/>
      <c r="AN152" s="2229"/>
      <c r="AO152" s="2229"/>
      <c r="AP152" s="2229"/>
      <c r="AQ152" s="2230"/>
      <c r="AR152" s="1202"/>
      <c r="AS152" s="1202"/>
      <c r="AT152" s="1202"/>
      <c r="AU152" s="1202"/>
      <c r="AV152" s="1202"/>
      <c r="AW152" s="1202"/>
      <c r="AX152" s="1202"/>
      <c r="AY152" s="1202"/>
      <c r="AZ152" s="1202"/>
      <c r="BA152" s="1202"/>
      <c r="BB152" s="1202"/>
      <c r="BC152" s="1202"/>
      <c r="BD152" s="1202"/>
      <c r="BE152" s="1209"/>
    </row>
    <row r="153" spans="1:57" ht="15.75" customHeight="1">
      <c r="A153" s="1202"/>
      <c r="B153" s="2227"/>
      <c r="C153" s="2228"/>
      <c r="D153" s="2228"/>
      <c r="E153" s="2228"/>
      <c r="F153" s="2228"/>
      <c r="G153" s="2228"/>
      <c r="H153" s="2228"/>
      <c r="I153" s="2229"/>
      <c r="J153" s="2229"/>
      <c r="K153" s="2229"/>
      <c r="L153" s="2229"/>
      <c r="M153" s="2229"/>
      <c r="N153" s="2229"/>
      <c r="O153" s="2229"/>
      <c r="P153" s="2229"/>
      <c r="Q153" s="2229"/>
      <c r="R153" s="2229"/>
      <c r="S153" s="2229"/>
      <c r="T153" s="2229"/>
      <c r="U153" s="2230"/>
      <c r="V153" s="1202"/>
      <c r="W153" s="1202"/>
      <c r="X153" s="2227"/>
      <c r="Y153" s="2228"/>
      <c r="Z153" s="2228"/>
      <c r="AA153" s="2228"/>
      <c r="AB153" s="2228"/>
      <c r="AC153" s="2228"/>
      <c r="AD153" s="2228"/>
      <c r="AE153" s="2229"/>
      <c r="AF153" s="2229"/>
      <c r="AG153" s="2229"/>
      <c r="AH153" s="2229"/>
      <c r="AI153" s="2229"/>
      <c r="AJ153" s="2229"/>
      <c r="AK153" s="2229"/>
      <c r="AL153" s="2229"/>
      <c r="AM153" s="2229"/>
      <c r="AN153" s="2229"/>
      <c r="AO153" s="2229"/>
      <c r="AP153" s="2229"/>
      <c r="AQ153" s="2230"/>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201" t="s">
        <v>2278</v>
      </c>
      <c r="C154" s="2202"/>
      <c r="D154" s="2202"/>
      <c r="E154" s="2202"/>
      <c r="F154" s="2202"/>
      <c r="G154" s="2202"/>
      <c r="H154" s="2202"/>
      <c r="I154" s="2179">
        <v>0</v>
      </c>
      <c r="J154" s="2179"/>
      <c r="K154" s="2179"/>
      <c r="L154" s="2179"/>
      <c r="M154" s="2179"/>
      <c r="N154" s="2179"/>
      <c r="O154" s="2179"/>
      <c r="P154" s="2179">
        <v>0</v>
      </c>
      <c r="Q154" s="2179"/>
      <c r="R154" s="2179"/>
      <c r="S154" s="2179"/>
      <c r="T154" s="2179"/>
      <c r="U154" s="2180"/>
      <c r="V154" s="1202"/>
      <c r="W154" s="1202"/>
      <c r="X154" s="2203" t="s">
        <v>2278</v>
      </c>
      <c r="Y154" s="2204"/>
      <c r="Z154" s="2204"/>
      <c r="AA154" s="2204"/>
      <c r="AB154" s="2204"/>
      <c r="AC154" s="2204"/>
      <c r="AD154" s="2204"/>
      <c r="AE154" s="2177">
        <v>0</v>
      </c>
      <c r="AF154" s="2177"/>
      <c r="AG154" s="2177"/>
      <c r="AH154" s="2177"/>
      <c r="AI154" s="2177"/>
      <c r="AJ154" s="2177"/>
      <c r="AK154" s="2177"/>
      <c r="AL154" s="2177">
        <v>0</v>
      </c>
      <c r="AM154" s="2177"/>
      <c r="AN154" s="2177"/>
      <c r="AO154" s="2177"/>
      <c r="AP154" s="2177"/>
      <c r="AQ154" s="2178"/>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203" t="s">
        <v>2277</v>
      </c>
      <c r="C155" s="2204"/>
      <c r="D155" s="2204"/>
      <c r="E155" s="2204"/>
      <c r="F155" s="2204"/>
      <c r="G155" s="2204"/>
      <c r="H155" s="2204"/>
      <c r="I155" s="2177">
        <v>0</v>
      </c>
      <c r="J155" s="2177"/>
      <c r="K155" s="2177"/>
      <c r="L155" s="2177"/>
      <c r="M155" s="2177"/>
      <c r="N155" s="2177"/>
      <c r="O155" s="2177"/>
      <c r="P155" s="2177">
        <v>0</v>
      </c>
      <c r="Q155" s="2177"/>
      <c r="R155" s="2177"/>
      <c r="S155" s="2177"/>
      <c r="T155" s="2177"/>
      <c r="U155" s="2178"/>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8" t="s">
        <v>2276</v>
      </c>
      <c r="D157" s="2099"/>
      <c r="E157" s="2099"/>
      <c r="F157" s="2099"/>
      <c r="G157" s="2099"/>
      <c r="H157" s="2099"/>
      <c r="I157" s="2099"/>
      <c r="J157" s="2099"/>
      <c r="K157" s="2099"/>
      <c r="L157" s="2099"/>
      <c r="M157" s="2099"/>
      <c r="N157" s="2099"/>
      <c r="O157" s="2099"/>
      <c r="P157" s="2099"/>
      <c r="Q157" s="2099"/>
      <c r="R157" s="2099"/>
      <c r="S157" s="2099"/>
      <c r="T157" s="2099"/>
      <c r="U157" s="2099"/>
      <c r="V157" s="2099"/>
      <c r="W157" s="2099"/>
      <c r="X157" s="2099"/>
      <c r="Y157" s="2099"/>
      <c r="Z157" s="2099"/>
      <c r="AA157" s="2099"/>
      <c r="AB157" s="2099"/>
      <c r="AC157" s="2099"/>
      <c r="AD157" s="2099"/>
      <c r="AE157" s="2099"/>
      <c r="AF157" s="2099"/>
      <c r="AG157" s="2100"/>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227" t="s">
        <v>2261</v>
      </c>
      <c r="D158" s="2228"/>
      <c r="E158" s="2228"/>
      <c r="F158" s="2228"/>
      <c r="G158" s="2228"/>
      <c r="H158" s="2228"/>
      <c r="I158" s="2228"/>
      <c r="J158" s="2228"/>
      <c r="K158" s="2228"/>
      <c r="L158" s="2228"/>
      <c r="M158" s="2228"/>
      <c r="N158" s="2228"/>
      <c r="O158" s="2228"/>
      <c r="P158" s="2228"/>
      <c r="Q158" s="2228" t="s">
        <v>2275</v>
      </c>
      <c r="R158" s="2228"/>
      <c r="S158" s="2228"/>
      <c r="T158" s="2175" t="s">
        <v>2274</v>
      </c>
      <c r="U158" s="2175"/>
      <c r="V158" s="2175"/>
      <c r="W158" s="2175"/>
      <c r="X158" s="2175"/>
      <c r="Y158" s="2175"/>
      <c r="Z158" s="2175"/>
      <c r="AA158" s="2175"/>
      <c r="AB158" s="2228" t="s">
        <v>2273</v>
      </c>
      <c r="AC158" s="2228"/>
      <c r="AD158" s="2228"/>
      <c r="AE158" s="2228"/>
      <c r="AF158" s="2228"/>
      <c r="AG158" s="2238"/>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233" t="s">
        <v>2272</v>
      </c>
      <c r="D159" s="2234"/>
      <c r="E159" s="2234"/>
      <c r="F159" s="2234"/>
      <c r="G159" s="2234"/>
      <c r="H159" s="2234"/>
      <c r="I159" s="2234"/>
      <c r="J159" s="2234"/>
      <c r="K159" s="2234"/>
      <c r="L159" s="2234"/>
      <c r="M159" s="2234"/>
      <c r="N159" s="2234"/>
      <c r="O159" s="2234"/>
      <c r="P159" s="2234"/>
      <c r="Q159" s="2235">
        <v>55</v>
      </c>
      <c r="R159" s="2235"/>
      <c r="S159" s="2235"/>
      <c r="T159" s="2236"/>
      <c r="U159" s="2236"/>
      <c r="V159" s="2236"/>
      <c r="W159" s="2236"/>
      <c r="X159" s="2236"/>
      <c r="Y159" s="2236"/>
      <c r="Z159" s="2236"/>
      <c r="AA159" s="2236"/>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233" t="s">
        <v>2271</v>
      </c>
      <c r="D160" s="2234"/>
      <c r="E160" s="2234"/>
      <c r="F160" s="2234"/>
      <c r="G160" s="2234"/>
      <c r="H160" s="2234"/>
      <c r="I160" s="2234"/>
      <c r="J160" s="2234"/>
      <c r="K160" s="2234"/>
      <c r="L160" s="2234"/>
      <c r="M160" s="2234"/>
      <c r="N160" s="2234"/>
      <c r="O160" s="2234"/>
      <c r="P160" s="2234"/>
      <c r="Q160" s="2235">
        <v>55</v>
      </c>
      <c r="R160" s="2235"/>
      <c r="S160" s="2235"/>
      <c r="T160" s="2237"/>
      <c r="U160" s="2237"/>
      <c r="V160" s="2237"/>
      <c r="W160" s="2237"/>
      <c r="X160" s="2237"/>
      <c r="Y160" s="2237"/>
      <c r="Z160" s="2237"/>
      <c r="AA160" s="2237"/>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233" t="s">
        <v>2270</v>
      </c>
      <c r="D161" s="2234"/>
      <c r="E161" s="2234"/>
      <c r="F161" s="2234"/>
      <c r="G161" s="2234"/>
      <c r="H161" s="2234"/>
      <c r="I161" s="2234"/>
      <c r="J161" s="2234"/>
      <c r="K161" s="2234"/>
      <c r="L161" s="2234"/>
      <c r="M161" s="2234"/>
      <c r="N161" s="2234"/>
      <c r="O161" s="2234"/>
      <c r="P161" s="2234"/>
      <c r="Q161" s="2235">
        <v>55</v>
      </c>
      <c r="R161" s="2235"/>
      <c r="S161" s="2235"/>
      <c r="T161" s="2236"/>
      <c r="U161" s="2236"/>
      <c r="V161" s="2236"/>
      <c r="W161" s="2236"/>
      <c r="X161" s="2236"/>
      <c r="Y161" s="2236"/>
      <c r="Z161" s="2236"/>
      <c r="AA161" s="2236"/>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233" t="s">
        <v>2269</v>
      </c>
      <c r="D162" s="2234"/>
      <c r="E162" s="2234"/>
      <c r="F162" s="2234"/>
      <c r="G162" s="2234"/>
      <c r="H162" s="2234"/>
      <c r="I162" s="2234"/>
      <c r="J162" s="2234"/>
      <c r="K162" s="2234"/>
      <c r="L162" s="2234"/>
      <c r="M162" s="2234"/>
      <c r="N162" s="2234"/>
      <c r="O162" s="2234"/>
      <c r="P162" s="2234"/>
      <c r="Q162" s="2235">
        <v>55</v>
      </c>
      <c r="R162" s="2235"/>
      <c r="S162" s="2235"/>
      <c r="T162" s="2236"/>
      <c r="U162" s="2236"/>
      <c r="V162" s="2236"/>
      <c r="W162" s="2236"/>
      <c r="X162" s="2236"/>
      <c r="Y162" s="2236"/>
      <c r="Z162" s="2236"/>
      <c r="AA162" s="2236"/>
      <c r="AB162" s="2239">
        <v>0</v>
      </c>
      <c r="AC162" s="2239"/>
      <c r="AD162" s="2239"/>
      <c r="AE162" s="2239"/>
      <c r="AF162" s="2239"/>
      <c r="AG162" s="2240"/>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233" t="s">
        <v>170</v>
      </c>
      <c r="D163" s="2234"/>
      <c r="E163" s="2234"/>
      <c r="F163" s="2241" t="s">
        <v>2250</v>
      </c>
      <c r="G163" s="2241"/>
      <c r="H163" s="2241"/>
      <c r="I163" s="2241"/>
      <c r="J163" s="2241"/>
      <c r="K163" s="2241"/>
      <c r="L163" s="2241"/>
      <c r="M163" s="2241"/>
      <c r="N163" s="2241"/>
      <c r="O163" s="2241"/>
      <c r="P163" s="2241"/>
      <c r="Q163" s="2235">
        <v>55</v>
      </c>
      <c r="R163" s="2235"/>
      <c r="S163" s="2235"/>
      <c r="T163" s="2237"/>
      <c r="U163" s="2237"/>
      <c r="V163" s="2237"/>
      <c r="W163" s="2237"/>
      <c r="X163" s="2237"/>
      <c r="Y163" s="2237"/>
      <c r="Z163" s="2237"/>
      <c r="AA163" s="2237"/>
      <c r="AB163" s="2239">
        <v>0</v>
      </c>
      <c r="AC163" s="2239"/>
      <c r="AD163" s="2239"/>
      <c r="AE163" s="2239"/>
      <c r="AF163" s="2239"/>
      <c r="AG163" s="2240"/>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233" t="s">
        <v>170</v>
      </c>
      <c r="D164" s="2234"/>
      <c r="E164" s="2234"/>
      <c r="F164" s="2241" t="s">
        <v>2250</v>
      </c>
      <c r="G164" s="2241"/>
      <c r="H164" s="2241"/>
      <c r="I164" s="2241"/>
      <c r="J164" s="2241"/>
      <c r="K164" s="2241"/>
      <c r="L164" s="2241"/>
      <c r="M164" s="2241"/>
      <c r="N164" s="2241"/>
      <c r="O164" s="2241"/>
      <c r="P164" s="2241"/>
      <c r="Q164" s="2235">
        <v>55</v>
      </c>
      <c r="R164" s="2235"/>
      <c r="S164" s="2235"/>
      <c r="T164" s="2237"/>
      <c r="U164" s="2237"/>
      <c r="V164" s="2237"/>
      <c r="W164" s="2237"/>
      <c r="X164" s="2237"/>
      <c r="Y164" s="2237"/>
      <c r="Z164" s="2237"/>
      <c r="AA164" s="2237"/>
      <c r="AB164" s="2239">
        <v>0</v>
      </c>
      <c r="AC164" s="2239"/>
      <c r="AD164" s="2239"/>
      <c r="AE164" s="2239"/>
      <c r="AF164" s="2239"/>
      <c r="AG164" s="2240"/>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242" t="s">
        <v>170</v>
      </c>
      <c r="D165" s="2243"/>
      <c r="E165" s="2243"/>
      <c r="F165" s="2244" t="s">
        <v>2250</v>
      </c>
      <c r="G165" s="2244"/>
      <c r="H165" s="2244"/>
      <c r="I165" s="2244"/>
      <c r="J165" s="2244"/>
      <c r="K165" s="2244"/>
      <c r="L165" s="2244"/>
      <c r="M165" s="2244"/>
      <c r="N165" s="2244"/>
      <c r="O165" s="2244"/>
      <c r="P165" s="2244"/>
      <c r="Q165" s="2245">
        <v>55</v>
      </c>
      <c r="R165" s="2245"/>
      <c r="S165" s="2245"/>
      <c r="T165" s="2246"/>
      <c r="U165" s="2246"/>
      <c r="V165" s="2246"/>
      <c r="W165" s="2246"/>
      <c r="X165" s="2246"/>
      <c r="Y165" s="2246"/>
      <c r="Z165" s="2246"/>
      <c r="AA165" s="2246"/>
      <c r="AB165" s="2247">
        <v>0</v>
      </c>
      <c r="AC165" s="2247"/>
      <c r="AD165" s="2247"/>
      <c r="AE165" s="2247"/>
      <c r="AF165" s="2247"/>
      <c r="AG165" s="2248"/>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145" t="s">
        <v>2268</v>
      </c>
      <c r="D167" s="2146"/>
      <c r="E167" s="2146"/>
      <c r="F167" s="2146"/>
      <c r="G167" s="2146"/>
      <c r="H167" s="2146"/>
      <c r="I167" s="2146"/>
      <c r="J167" s="2146"/>
      <c r="K167" s="2146"/>
      <c r="L167" s="2146"/>
      <c r="M167" s="2146"/>
      <c r="N167" s="2184"/>
      <c r="O167" s="1202"/>
      <c r="P167" s="2249" t="s">
        <v>2267</v>
      </c>
      <c r="Q167" s="2250"/>
      <c r="R167" s="2250"/>
      <c r="S167" s="2250"/>
      <c r="T167" s="2250"/>
      <c r="U167" s="2250"/>
      <c r="V167" s="2250"/>
      <c r="W167" s="2250"/>
      <c r="X167" s="2250"/>
      <c r="Y167" s="2250"/>
      <c r="Z167" s="2250"/>
      <c r="AA167" s="2250"/>
      <c r="AB167" s="2250"/>
      <c r="AC167" s="2250"/>
      <c r="AD167" s="2250"/>
      <c r="AE167" s="2250"/>
      <c r="AF167" s="2250"/>
      <c r="AG167" s="2250"/>
      <c r="AH167" s="2250"/>
      <c r="AI167" s="2250"/>
      <c r="AJ167" s="2250"/>
      <c r="AK167" s="2250"/>
      <c r="AL167" s="2250"/>
      <c r="AM167" s="2250"/>
      <c r="AN167" s="2250"/>
      <c r="AO167" s="2251"/>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227" t="s">
        <v>2266</v>
      </c>
      <c r="D168" s="2228"/>
      <c r="E168" s="2228"/>
      <c r="F168" s="2228"/>
      <c r="G168" s="2228"/>
      <c r="H168" s="2228"/>
      <c r="I168" s="2228" t="s">
        <v>2265</v>
      </c>
      <c r="J168" s="2228"/>
      <c r="K168" s="2228"/>
      <c r="L168" s="2228"/>
      <c r="M168" s="2228"/>
      <c r="N168" s="2238"/>
      <c r="O168" s="1202"/>
      <c r="P168" s="2149" t="s">
        <v>2264</v>
      </c>
      <c r="Q168" s="2150"/>
      <c r="R168" s="2150"/>
      <c r="S168" s="2150"/>
      <c r="T168" s="2150"/>
      <c r="U168" s="2150"/>
      <c r="V168" s="2150"/>
      <c r="W168" s="2150"/>
      <c r="X168" s="2150"/>
      <c r="Y168" s="2150"/>
      <c r="Z168" s="2150"/>
      <c r="AA168" s="2150"/>
      <c r="AB168" s="2150"/>
      <c r="AC168" s="2150"/>
      <c r="AD168" s="2150"/>
      <c r="AE168" s="2150"/>
      <c r="AF168" s="2150"/>
      <c r="AG168" s="2150"/>
      <c r="AH168" s="2150"/>
      <c r="AI168" s="2150"/>
      <c r="AJ168" s="2150"/>
      <c r="AK168" s="2150"/>
      <c r="AL168" s="2150"/>
      <c r="AM168" s="2150"/>
      <c r="AN168" s="2150"/>
      <c r="AO168" s="2151"/>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155"/>
      <c r="D169" s="2105"/>
      <c r="E169" s="2105"/>
      <c r="F169" s="2105"/>
      <c r="G169" s="2105"/>
      <c r="H169" s="2105"/>
      <c r="I169" s="2236"/>
      <c r="J169" s="2236"/>
      <c r="K169" s="2236"/>
      <c r="L169" s="2236"/>
      <c r="M169" s="2236"/>
      <c r="N169" s="2252"/>
      <c r="O169" s="1202"/>
      <c r="P169" s="2149"/>
      <c r="Q169" s="2150"/>
      <c r="R169" s="2150"/>
      <c r="S169" s="2150"/>
      <c r="T169" s="2150"/>
      <c r="U169" s="2150"/>
      <c r="V169" s="2150"/>
      <c r="W169" s="2150"/>
      <c r="X169" s="2150"/>
      <c r="Y169" s="2150"/>
      <c r="Z169" s="2150"/>
      <c r="AA169" s="2150"/>
      <c r="AB169" s="2150"/>
      <c r="AC169" s="2150"/>
      <c r="AD169" s="2150"/>
      <c r="AE169" s="2150"/>
      <c r="AF169" s="2150"/>
      <c r="AG169" s="2150"/>
      <c r="AH169" s="2150"/>
      <c r="AI169" s="2150"/>
      <c r="AJ169" s="2150"/>
      <c r="AK169" s="2150"/>
      <c r="AL169" s="2150"/>
      <c r="AM169" s="2150"/>
      <c r="AN169" s="2150"/>
      <c r="AO169" s="2151"/>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155"/>
      <c r="D170" s="2105"/>
      <c r="E170" s="2105"/>
      <c r="F170" s="2105"/>
      <c r="G170" s="2105"/>
      <c r="H170" s="2105"/>
      <c r="I170" s="2236"/>
      <c r="J170" s="2236"/>
      <c r="K170" s="2236"/>
      <c r="L170" s="2236"/>
      <c r="M170" s="2236"/>
      <c r="N170" s="2252"/>
      <c r="O170" s="1202"/>
      <c r="P170" s="2149"/>
      <c r="Q170" s="2150"/>
      <c r="R170" s="2150"/>
      <c r="S170" s="2150"/>
      <c r="T170" s="2150"/>
      <c r="U170" s="2150"/>
      <c r="V170" s="2150"/>
      <c r="W170" s="2150"/>
      <c r="X170" s="2150"/>
      <c r="Y170" s="2150"/>
      <c r="Z170" s="2150"/>
      <c r="AA170" s="2150"/>
      <c r="AB170" s="2150"/>
      <c r="AC170" s="2150"/>
      <c r="AD170" s="2150"/>
      <c r="AE170" s="2150"/>
      <c r="AF170" s="2150"/>
      <c r="AG170" s="2150"/>
      <c r="AH170" s="2150"/>
      <c r="AI170" s="2150"/>
      <c r="AJ170" s="2150"/>
      <c r="AK170" s="2150"/>
      <c r="AL170" s="2150"/>
      <c r="AM170" s="2150"/>
      <c r="AN170" s="2150"/>
      <c r="AO170" s="2151"/>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155"/>
      <c r="D171" s="2105"/>
      <c r="E171" s="2105"/>
      <c r="F171" s="2105"/>
      <c r="G171" s="2105"/>
      <c r="H171" s="2105"/>
      <c r="I171" s="2236"/>
      <c r="J171" s="2236"/>
      <c r="K171" s="2236"/>
      <c r="L171" s="2236"/>
      <c r="M171" s="2236"/>
      <c r="N171" s="2252"/>
      <c r="O171" s="1202"/>
      <c r="P171" s="2149"/>
      <c r="Q171" s="2150"/>
      <c r="R171" s="2150"/>
      <c r="S171" s="2150"/>
      <c r="T171" s="2150"/>
      <c r="U171" s="2150"/>
      <c r="V171" s="2150"/>
      <c r="W171" s="2150"/>
      <c r="X171" s="2150"/>
      <c r="Y171" s="2150"/>
      <c r="Z171" s="2150"/>
      <c r="AA171" s="2150"/>
      <c r="AB171" s="2150"/>
      <c r="AC171" s="2150"/>
      <c r="AD171" s="2150"/>
      <c r="AE171" s="2150"/>
      <c r="AF171" s="2150"/>
      <c r="AG171" s="2150"/>
      <c r="AH171" s="2150"/>
      <c r="AI171" s="2150"/>
      <c r="AJ171" s="2150"/>
      <c r="AK171" s="2150"/>
      <c r="AL171" s="2150"/>
      <c r="AM171" s="2150"/>
      <c r="AN171" s="2150"/>
      <c r="AO171" s="2151"/>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155"/>
      <c r="D172" s="2105"/>
      <c r="E172" s="2105"/>
      <c r="F172" s="2105"/>
      <c r="G172" s="2105"/>
      <c r="H172" s="2105"/>
      <c r="I172" s="2236"/>
      <c r="J172" s="2236"/>
      <c r="K172" s="2236"/>
      <c r="L172" s="2236"/>
      <c r="M172" s="2236"/>
      <c r="N172" s="2252"/>
      <c r="O172" s="1202"/>
      <c r="P172" s="2149"/>
      <c r="Q172" s="2150"/>
      <c r="R172" s="2150"/>
      <c r="S172" s="2150"/>
      <c r="T172" s="2150"/>
      <c r="U172" s="2150"/>
      <c r="V172" s="2150"/>
      <c r="W172" s="2150"/>
      <c r="X172" s="2150"/>
      <c r="Y172" s="2150"/>
      <c r="Z172" s="2150"/>
      <c r="AA172" s="2150"/>
      <c r="AB172" s="2150"/>
      <c r="AC172" s="2150"/>
      <c r="AD172" s="2150"/>
      <c r="AE172" s="2150"/>
      <c r="AF172" s="2150"/>
      <c r="AG172" s="2150"/>
      <c r="AH172" s="2150"/>
      <c r="AI172" s="2150"/>
      <c r="AJ172" s="2150"/>
      <c r="AK172" s="2150"/>
      <c r="AL172" s="2150"/>
      <c r="AM172" s="2150"/>
      <c r="AN172" s="2150"/>
      <c r="AO172" s="2151"/>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155"/>
      <c r="D173" s="2105"/>
      <c r="E173" s="2105"/>
      <c r="F173" s="2105"/>
      <c r="G173" s="2105"/>
      <c r="H173" s="2105"/>
      <c r="I173" s="2236"/>
      <c r="J173" s="2236"/>
      <c r="K173" s="2236"/>
      <c r="L173" s="2236"/>
      <c r="M173" s="2236"/>
      <c r="N173" s="2252"/>
      <c r="O173" s="1202"/>
      <c r="P173" s="2149"/>
      <c r="Q173" s="2150"/>
      <c r="R173" s="2150"/>
      <c r="S173" s="2150"/>
      <c r="T173" s="2150"/>
      <c r="U173" s="2150"/>
      <c r="V173" s="2150"/>
      <c r="W173" s="2150"/>
      <c r="X173" s="2150"/>
      <c r="Y173" s="2150"/>
      <c r="Z173" s="2150"/>
      <c r="AA173" s="2150"/>
      <c r="AB173" s="2150"/>
      <c r="AC173" s="2150"/>
      <c r="AD173" s="2150"/>
      <c r="AE173" s="2150"/>
      <c r="AF173" s="2150"/>
      <c r="AG173" s="2150"/>
      <c r="AH173" s="2150"/>
      <c r="AI173" s="2150"/>
      <c r="AJ173" s="2150"/>
      <c r="AK173" s="2150"/>
      <c r="AL173" s="2150"/>
      <c r="AM173" s="2150"/>
      <c r="AN173" s="2150"/>
      <c r="AO173" s="2151"/>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155"/>
      <c r="D174" s="2105"/>
      <c r="E174" s="2105"/>
      <c r="F174" s="2105"/>
      <c r="G174" s="2105"/>
      <c r="H174" s="2105"/>
      <c r="I174" s="2236"/>
      <c r="J174" s="2236"/>
      <c r="K174" s="2236"/>
      <c r="L174" s="2236"/>
      <c r="M174" s="2236"/>
      <c r="N174" s="2252"/>
      <c r="O174" s="1202"/>
      <c r="P174" s="2149"/>
      <c r="Q174" s="2150"/>
      <c r="R174" s="2150"/>
      <c r="S174" s="2150"/>
      <c r="T174" s="2150"/>
      <c r="U174" s="2150"/>
      <c r="V174" s="2150"/>
      <c r="W174" s="2150"/>
      <c r="X174" s="2150"/>
      <c r="Y174" s="2150"/>
      <c r="Z174" s="2150"/>
      <c r="AA174" s="2150"/>
      <c r="AB174" s="2150"/>
      <c r="AC174" s="2150"/>
      <c r="AD174" s="2150"/>
      <c r="AE174" s="2150"/>
      <c r="AF174" s="2150"/>
      <c r="AG174" s="2150"/>
      <c r="AH174" s="2150"/>
      <c r="AI174" s="2150"/>
      <c r="AJ174" s="2150"/>
      <c r="AK174" s="2150"/>
      <c r="AL174" s="2150"/>
      <c r="AM174" s="2150"/>
      <c r="AN174" s="2150"/>
      <c r="AO174" s="2151"/>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253"/>
      <c r="D175" s="2254"/>
      <c r="E175" s="2254"/>
      <c r="F175" s="2254"/>
      <c r="G175" s="2254"/>
      <c r="H175" s="2254"/>
      <c r="I175" s="2255"/>
      <c r="J175" s="2255"/>
      <c r="K175" s="2255"/>
      <c r="L175" s="2255"/>
      <c r="M175" s="2255"/>
      <c r="N175" s="2256"/>
      <c r="O175" s="1202"/>
      <c r="P175" s="2152"/>
      <c r="Q175" s="2153"/>
      <c r="R175" s="2153"/>
      <c r="S175" s="2153"/>
      <c r="T175" s="2153"/>
      <c r="U175" s="2153"/>
      <c r="V175" s="2153"/>
      <c r="W175" s="2153"/>
      <c r="X175" s="2153"/>
      <c r="Y175" s="2153"/>
      <c r="Z175" s="2153"/>
      <c r="AA175" s="2153"/>
      <c r="AB175" s="2153"/>
      <c r="AC175" s="2153"/>
      <c r="AD175" s="2153"/>
      <c r="AE175" s="2153"/>
      <c r="AF175" s="2153"/>
      <c r="AG175" s="2153"/>
      <c r="AH175" s="2153"/>
      <c r="AI175" s="2153"/>
      <c r="AJ175" s="2153"/>
      <c r="AK175" s="2153"/>
      <c r="AL175" s="2153"/>
      <c r="AM175" s="2153"/>
      <c r="AN175" s="2153"/>
      <c r="AO175" s="2154"/>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60" t="s">
        <v>2263</v>
      </c>
      <c r="D177" s="2261"/>
      <c r="E177" s="2261"/>
      <c r="F177" s="2261"/>
      <c r="G177" s="2261"/>
      <c r="H177" s="2261"/>
      <c r="I177" s="2261"/>
      <c r="J177" s="2261"/>
      <c r="K177" s="2261"/>
      <c r="L177" s="2261"/>
      <c r="M177" s="2261"/>
      <c r="N177" s="2261"/>
      <c r="O177" s="2261"/>
      <c r="P177" s="2261"/>
      <c r="Q177" s="2261"/>
      <c r="R177" s="2261"/>
      <c r="S177" s="2261"/>
      <c r="T177" s="2261"/>
      <c r="U177" s="2261"/>
      <c r="V177" s="2261"/>
      <c r="W177" s="2261"/>
      <c r="X177" s="2261"/>
      <c r="Y177" s="2261"/>
      <c r="Z177" s="2261"/>
      <c r="AA177" s="2261"/>
      <c r="AB177" s="2261"/>
      <c r="AC177" s="2261"/>
      <c r="AD177" s="2261"/>
      <c r="AE177" s="2262"/>
      <c r="AF177" s="1202"/>
      <c r="AG177" s="1202"/>
      <c r="AH177" s="2270"/>
      <c r="AI177" s="2270"/>
      <c r="AJ177" s="2270"/>
      <c r="AK177" s="2270"/>
      <c r="AL177" s="2270"/>
      <c r="AM177" s="2270"/>
      <c r="AN177" s="2270"/>
      <c r="AO177" s="2270"/>
      <c r="AP177" s="2270"/>
      <c r="AQ177" s="2270"/>
      <c r="AR177" s="2270"/>
      <c r="AS177" s="2270"/>
      <c r="AT177" s="2270"/>
      <c r="AU177" s="2270"/>
      <c r="AV177" s="2270"/>
      <c r="AW177" s="2270"/>
      <c r="AX177" s="2270"/>
      <c r="AY177" s="2270"/>
      <c r="AZ177" s="2270"/>
      <c r="BA177" s="2270"/>
      <c r="BB177" s="2270"/>
      <c r="BC177" s="2270"/>
      <c r="BD177" s="2270"/>
      <c r="BE177" s="2270"/>
    </row>
    <row r="178" spans="1:57" ht="15.75" customHeight="1" thickBot="1">
      <c r="A178" s="1202"/>
      <c r="B178" s="1202"/>
      <c r="C178" s="2263"/>
      <c r="D178" s="2264"/>
      <c r="E178" s="2264"/>
      <c r="F178" s="2264"/>
      <c r="G178" s="2264"/>
      <c r="H178" s="2264"/>
      <c r="I178" s="2264"/>
      <c r="J178" s="2264"/>
      <c r="K178" s="2264"/>
      <c r="L178" s="2264"/>
      <c r="M178" s="2264"/>
      <c r="N178" s="2264"/>
      <c r="O178" s="2264"/>
      <c r="P178" s="2264"/>
      <c r="Q178" s="2264"/>
      <c r="R178" s="2264"/>
      <c r="S178" s="2264"/>
      <c r="T178" s="2264"/>
      <c r="U178" s="2264"/>
      <c r="V178" s="2264"/>
      <c r="W178" s="2264"/>
      <c r="X178" s="2264"/>
      <c r="Y178" s="2264"/>
      <c r="Z178" s="2264"/>
      <c r="AA178" s="2264"/>
      <c r="AB178" s="2264"/>
      <c r="AC178" s="2264"/>
      <c r="AD178" s="2264"/>
      <c r="AE178" s="2265"/>
      <c r="AF178" s="1202"/>
      <c r="AG178" s="1202"/>
      <c r="AH178" s="2270"/>
      <c r="AI178" s="2270"/>
      <c r="AJ178" s="2270"/>
      <c r="AK178" s="2270"/>
      <c r="AL178" s="2270"/>
      <c r="AM178" s="2270"/>
      <c r="AN178" s="2270"/>
      <c r="AO178" s="2270"/>
      <c r="AP178" s="2270"/>
      <c r="AQ178" s="2270"/>
      <c r="AR178" s="2270"/>
      <c r="AS178" s="2270"/>
      <c r="AT178" s="2270"/>
      <c r="AU178" s="2270"/>
      <c r="AV178" s="2270"/>
      <c r="AW178" s="2270"/>
      <c r="AX178" s="2270"/>
      <c r="AY178" s="2270"/>
      <c r="AZ178" s="2270"/>
      <c r="BA178" s="2270"/>
      <c r="BB178" s="2270"/>
      <c r="BC178" s="2270"/>
      <c r="BD178" s="2270"/>
      <c r="BE178" s="2270"/>
    </row>
    <row r="179" spans="1:57" ht="15.75" customHeight="1">
      <c r="A179" s="1202"/>
      <c r="B179" s="1202"/>
      <c r="C179" s="2145" t="s">
        <v>2261</v>
      </c>
      <c r="D179" s="2146"/>
      <c r="E179" s="2146"/>
      <c r="F179" s="2146"/>
      <c r="G179" s="2146"/>
      <c r="H179" s="2146"/>
      <c r="I179" s="2146"/>
      <c r="J179" s="2146"/>
      <c r="K179" s="2146"/>
      <c r="L179" s="2146"/>
      <c r="M179" s="2146"/>
      <c r="N179" s="2146" t="s">
        <v>2262</v>
      </c>
      <c r="O179" s="2146"/>
      <c r="P179" s="2146"/>
      <c r="Q179" s="2146"/>
      <c r="R179" s="2146"/>
      <c r="S179" s="2146"/>
      <c r="T179" s="2146"/>
      <c r="U179" s="2099" t="s">
        <v>2261</v>
      </c>
      <c r="V179" s="2099"/>
      <c r="W179" s="2099"/>
      <c r="X179" s="2099"/>
      <c r="Y179" s="2099"/>
      <c r="Z179" s="2099"/>
      <c r="AA179" s="2099"/>
      <c r="AB179" s="2099"/>
      <c r="AC179" s="2099"/>
      <c r="AD179" s="2099"/>
      <c r="AE179" s="2100"/>
      <c r="AF179" s="1202"/>
      <c r="AG179" s="1202"/>
      <c r="AH179" s="2270"/>
      <c r="AI179" s="2270"/>
      <c r="AJ179" s="2270"/>
      <c r="AK179" s="2270"/>
      <c r="AL179" s="2270"/>
      <c r="AM179" s="2270"/>
      <c r="AN179" s="2270"/>
      <c r="AO179" s="2270"/>
      <c r="AP179" s="2270"/>
      <c r="AQ179" s="2270"/>
      <c r="AR179" s="2270"/>
      <c r="AS179" s="2270"/>
      <c r="AT179" s="2270"/>
      <c r="AU179" s="2270"/>
      <c r="AV179" s="2270"/>
      <c r="AW179" s="2270"/>
      <c r="AX179" s="2270"/>
      <c r="AY179" s="2270"/>
      <c r="AZ179" s="2270"/>
      <c r="BA179" s="2270"/>
      <c r="BB179" s="2270"/>
      <c r="BC179" s="2270"/>
      <c r="BD179" s="2270"/>
      <c r="BE179" s="2270"/>
    </row>
    <row r="180" spans="1:57" ht="15.75" customHeight="1">
      <c r="A180" s="1202"/>
      <c r="B180" s="1202"/>
      <c r="C180" s="2257" t="s">
        <v>2260</v>
      </c>
      <c r="D180" s="2258"/>
      <c r="E180" s="2258"/>
      <c r="F180" s="2258"/>
      <c r="G180" s="2258"/>
      <c r="H180" s="2258"/>
      <c r="I180" s="2258"/>
      <c r="J180" s="2258"/>
      <c r="K180" s="2258"/>
      <c r="L180" s="2258"/>
      <c r="M180" s="2258"/>
      <c r="N180" s="2259">
        <f>'Sources and Uses Budget'!B105</f>
        <v>79917904</v>
      </c>
      <c r="O180" s="2259"/>
      <c r="P180" s="2259"/>
      <c r="Q180" s="2259"/>
      <c r="R180" s="2259"/>
      <c r="S180" s="2259"/>
      <c r="T180" s="2259"/>
      <c r="U180" s="2271"/>
      <c r="V180" s="2271"/>
      <c r="W180" s="2271"/>
      <c r="X180" s="2271"/>
      <c r="Y180" s="2271"/>
      <c r="Z180" s="2271"/>
      <c r="AA180" s="2271"/>
      <c r="AB180" s="2271"/>
      <c r="AC180" s="2271"/>
      <c r="AD180" s="2271"/>
      <c r="AE180" s="2272"/>
      <c r="AF180" s="1202"/>
      <c r="AG180" s="1202"/>
      <c r="AH180" s="2270"/>
      <c r="AI180" s="2270"/>
      <c r="AJ180" s="2270"/>
      <c r="AK180" s="2270"/>
      <c r="AL180" s="2270"/>
      <c r="AM180" s="2270"/>
      <c r="AN180" s="2270"/>
      <c r="AO180" s="2270"/>
      <c r="AP180" s="2270"/>
      <c r="AQ180" s="2270"/>
      <c r="AR180" s="2270"/>
      <c r="AS180" s="2270"/>
      <c r="AT180" s="2270"/>
      <c r="AU180" s="2270"/>
      <c r="AV180" s="2270"/>
      <c r="AW180" s="2270"/>
      <c r="AX180" s="2270"/>
      <c r="AY180" s="2270"/>
      <c r="AZ180" s="2270"/>
      <c r="BA180" s="2270"/>
      <c r="BB180" s="2270"/>
      <c r="BC180" s="2270"/>
      <c r="BD180" s="2270"/>
      <c r="BE180" s="2270"/>
    </row>
    <row r="181" spans="1:57" ht="15.75" customHeight="1">
      <c r="A181" s="1202"/>
      <c r="B181" s="1202"/>
      <c r="C181" s="2257" t="s">
        <v>2259</v>
      </c>
      <c r="D181" s="2258"/>
      <c r="E181" s="2258"/>
      <c r="F181" s="2258"/>
      <c r="G181" s="2258"/>
      <c r="H181" s="2258"/>
      <c r="I181" s="2258"/>
      <c r="J181" s="2258"/>
      <c r="K181" s="2258"/>
      <c r="L181" s="2258"/>
      <c r="M181" s="2258"/>
      <c r="N181" s="2259">
        <f>N180/J29</f>
        <v>707238.08849557524</v>
      </c>
      <c r="O181" s="2259"/>
      <c r="P181" s="2259"/>
      <c r="Q181" s="2259"/>
      <c r="R181" s="2259"/>
      <c r="S181" s="2259"/>
      <c r="T181" s="2259"/>
      <c r="U181" s="1242"/>
      <c r="V181" s="1242"/>
      <c r="W181" s="1242"/>
      <c r="X181" s="1242"/>
      <c r="Y181" s="1242"/>
      <c r="Z181" s="1242"/>
      <c r="AA181" s="1242"/>
      <c r="AB181" s="1242"/>
      <c r="AC181" s="1242"/>
      <c r="AD181" s="1242"/>
      <c r="AE181" s="1243"/>
      <c r="AF181" s="1202"/>
      <c r="AG181" s="1202"/>
      <c r="AH181" s="2270"/>
      <c r="AI181" s="2270"/>
      <c r="AJ181" s="2270"/>
      <c r="AK181" s="2270"/>
      <c r="AL181" s="2270"/>
      <c r="AM181" s="2270"/>
      <c r="AN181" s="2270"/>
      <c r="AO181" s="2270"/>
      <c r="AP181" s="2270"/>
      <c r="AQ181" s="2270"/>
      <c r="AR181" s="2270"/>
      <c r="AS181" s="2270"/>
      <c r="AT181" s="2270"/>
      <c r="AU181" s="2270"/>
      <c r="AV181" s="2270"/>
      <c r="AW181" s="2270"/>
      <c r="AX181" s="2270"/>
      <c r="AY181" s="2270"/>
      <c r="AZ181" s="2270"/>
      <c r="BA181" s="2270"/>
      <c r="BB181" s="2270"/>
      <c r="BC181" s="2270"/>
      <c r="BD181" s="2270"/>
      <c r="BE181" s="2270"/>
    </row>
    <row r="182" spans="1:57" ht="15.75" customHeight="1">
      <c r="A182" s="1202"/>
      <c r="B182" s="1202"/>
      <c r="C182" s="2273" t="s">
        <v>2258</v>
      </c>
      <c r="D182" s="2274"/>
      <c r="E182" s="2274"/>
      <c r="F182" s="2274"/>
      <c r="G182" s="2274"/>
      <c r="H182" s="2274"/>
      <c r="I182" s="2274"/>
      <c r="J182" s="2274"/>
      <c r="K182" s="2274"/>
      <c r="L182" s="2274"/>
      <c r="M182" s="2274"/>
      <c r="N182" s="2139">
        <v>0</v>
      </c>
      <c r="O182" s="2139"/>
      <c r="P182" s="2139"/>
      <c r="Q182" s="2139"/>
      <c r="R182" s="2139"/>
      <c r="S182" s="2139"/>
      <c r="T182" s="2139"/>
      <c r="U182" s="2117"/>
      <c r="V182" s="2117"/>
      <c r="W182" s="2117"/>
      <c r="X182" s="2117"/>
      <c r="Y182" s="2117"/>
      <c r="Z182" s="2117"/>
      <c r="AA182" s="2117"/>
      <c r="AB182" s="2117"/>
      <c r="AC182" s="2117"/>
      <c r="AD182" s="2117"/>
      <c r="AE182" s="2118"/>
      <c r="AF182" s="1202"/>
      <c r="AG182" s="1202"/>
      <c r="AH182" s="2270"/>
      <c r="AI182" s="2270"/>
      <c r="AJ182" s="2270"/>
      <c r="AK182" s="2270"/>
      <c r="AL182" s="2270"/>
      <c r="AM182" s="2270"/>
      <c r="AN182" s="2270"/>
      <c r="AO182" s="2270"/>
      <c r="AP182" s="2270"/>
      <c r="AQ182" s="2270"/>
      <c r="AR182" s="2270"/>
      <c r="AS182" s="2270"/>
      <c r="AT182" s="2270"/>
      <c r="AU182" s="2270"/>
      <c r="AV182" s="2270"/>
      <c r="AW182" s="2270"/>
      <c r="AX182" s="2270"/>
      <c r="AY182" s="2270"/>
      <c r="AZ182" s="2270"/>
      <c r="BA182" s="2270"/>
      <c r="BB182" s="2270"/>
      <c r="BC182" s="2270"/>
      <c r="BD182" s="2270"/>
      <c r="BE182" s="2270"/>
    </row>
    <row r="183" spans="1:57" ht="15.75" customHeight="1" thickBot="1">
      <c r="A183" s="1202"/>
      <c r="B183" s="1202"/>
      <c r="C183" s="2257" t="s">
        <v>2257</v>
      </c>
      <c r="D183" s="2258"/>
      <c r="E183" s="2258"/>
      <c r="F183" s="2258"/>
      <c r="G183" s="2258"/>
      <c r="H183" s="2258"/>
      <c r="I183" s="2258"/>
      <c r="J183" s="2258"/>
      <c r="K183" s="2258"/>
      <c r="L183" s="2258"/>
      <c r="M183" s="2258"/>
      <c r="N183" s="2275">
        <f>SUM('Sources and Uses Budget'!B85:B86)</f>
        <v>3955000</v>
      </c>
      <c r="O183" s="2275"/>
      <c r="P183" s="2275"/>
      <c r="Q183" s="2275"/>
      <c r="R183" s="2275"/>
      <c r="S183" s="2275"/>
      <c r="T183" s="2275"/>
      <c r="U183" s="2117"/>
      <c r="V183" s="2117"/>
      <c r="W183" s="2117"/>
      <c r="X183" s="2117"/>
      <c r="Y183" s="2117"/>
      <c r="Z183" s="2117"/>
      <c r="AA183" s="2117"/>
      <c r="AB183" s="2117"/>
      <c r="AC183" s="2117"/>
      <c r="AD183" s="2117"/>
      <c r="AE183" s="2118"/>
      <c r="AF183" s="1202"/>
      <c r="AG183" s="1202"/>
      <c r="AH183" s="2270"/>
      <c r="AI183" s="2270"/>
      <c r="AJ183" s="2270"/>
      <c r="AK183" s="2270"/>
      <c r="AL183" s="2270"/>
      <c r="AM183" s="2270"/>
      <c r="AN183" s="2270"/>
      <c r="AO183" s="2270"/>
      <c r="AP183" s="2270"/>
      <c r="AQ183" s="2270"/>
      <c r="AR183" s="2270"/>
      <c r="AS183" s="2270"/>
      <c r="AT183" s="2270"/>
      <c r="AU183" s="2270"/>
      <c r="AV183" s="2270"/>
      <c r="AW183" s="2270"/>
      <c r="AX183" s="2270"/>
      <c r="AY183" s="2270"/>
      <c r="AZ183" s="2270"/>
      <c r="BA183" s="2270"/>
      <c r="BB183" s="2270"/>
      <c r="BC183" s="2270"/>
      <c r="BD183" s="2270"/>
      <c r="BE183" s="2270"/>
    </row>
    <row r="184" spans="1:57" ht="15.75" customHeight="1" thickBot="1">
      <c r="A184" s="1202"/>
      <c r="B184" s="1202"/>
      <c r="C184" s="2257" t="s">
        <v>2256</v>
      </c>
      <c r="D184" s="2258"/>
      <c r="E184" s="2258"/>
      <c r="F184" s="2258"/>
      <c r="G184" s="2258"/>
      <c r="H184" s="2258"/>
      <c r="I184" s="2258"/>
      <c r="J184" s="2258"/>
      <c r="K184" s="2258"/>
      <c r="L184" s="2258"/>
      <c r="M184" s="2258"/>
      <c r="N184" s="2275">
        <f>'Sources and Uses Budget'!B8</f>
        <v>0</v>
      </c>
      <c r="O184" s="2275"/>
      <c r="P184" s="2275"/>
      <c r="Q184" s="2275"/>
      <c r="R184" s="2275"/>
      <c r="S184" s="2275"/>
      <c r="T184" s="2275"/>
      <c r="U184" s="2117"/>
      <c r="V184" s="2117"/>
      <c r="W184" s="2117"/>
      <c r="X184" s="2117"/>
      <c r="Y184" s="2117"/>
      <c r="Z184" s="2117"/>
      <c r="AA184" s="2117"/>
      <c r="AB184" s="2117"/>
      <c r="AC184" s="2117"/>
      <c r="AD184" s="2117"/>
      <c r="AE184" s="2118"/>
      <c r="AF184" s="1202"/>
      <c r="AG184" s="1202"/>
      <c r="AH184" s="2279" t="s">
        <v>2254</v>
      </c>
      <c r="AI184" s="2280"/>
      <c r="AJ184" s="2280"/>
      <c r="AK184" s="2280"/>
      <c r="AL184" s="2280"/>
      <c r="AM184" s="2280"/>
      <c r="AN184" s="2280"/>
      <c r="AO184" s="2280"/>
      <c r="AP184" s="2280"/>
      <c r="AQ184" s="2280"/>
      <c r="AR184" s="2280"/>
      <c r="AS184" s="2280"/>
      <c r="AT184" s="2280"/>
      <c r="AU184" s="2280"/>
      <c r="AV184" s="2280"/>
      <c r="AW184" s="2280"/>
      <c r="AX184" s="2280"/>
      <c r="AY184" s="2280"/>
      <c r="AZ184" s="2280"/>
      <c r="BA184" s="2280"/>
      <c r="BB184" s="2280"/>
      <c r="BC184" s="2280"/>
      <c r="BD184" s="2280"/>
      <c r="BE184" s="2281"/>
    </row>
    <row r="185" spans="1:57" ht="15.75" customHeight="1">
      <c r="A185" s="1202"/>
      <c r="B185" s="1202"/>
      <c r="C185" s="2257" t="s">
        <v>2255</v>
      </c>
      <c r="D185" s="2258"/>
      <c r="E185" s="2258"/>
      <c r="F185" s="2258"/>
      <c r="G185" s="2258"/>
      <c r="H185" s="2258"/>
      <c r="I185" s="2258"/>
      <c r="J185" s="2258"/>
      <c r="K185" s="2258"/>
      <c r="L185" s="2258"/>
      <c r="M185" s="2258"/>
      <c r="N185" s="2266">
        <v>0</v>
      </c>
      <c r="O185" s="2266"/>
      <c r="P185" s="2266"/>
      <c r="Q185" s="2266"/>
      <c r="R185" s="2266"/>
      <c r="S185" s="2266"/>
      <c r="T185" s="2266"/>
      <c r="U185" s="2117"/>
      <c r="V185" s="2117"/>
      <c r="W185" s="2117"/>
      <c r="X185" s="2117"/>
      <c r="Y185" s="2117"/>
      <c r="Z185" s="2117"/>
      <c r="AA185" s="2117"/>
      <c r="AB185" s="2117"/>
      <c r="AC185" s="2117"/>
      <c r="AD185" s="2117"/>
      <c r="AE185" s="2118"/>
      <c r="AF185" s="1202"/>
      <c r="AG185" s="1202"/>
      <c r="AH185" s="2282" t="s">
        <v>2254</v>
      </c>
      <c r="AI185" s="2283"/>
      <c r="AJ185" s="2283"/>
      <c r="AK185" s="2283"/>
      <c r="AL185" s="2283"/>
      <c r="AM185" s="2283"/>
      <c r="AN185" s="2283"/>
      <c r="AO185" s="2283"/>
      <c r="AP185" s="2283"/>
      <c r="AQ185" s="2283"/>
      <c r="AR185" s="2283"/>
      <c r="AS185" s="2283"/>
      <c r="AT185" s="2283"/>
      <c r="AU185" s="2284">
        <v>0</v>
      </c>
      <c r="AV185" s="2284"/>
      <c r="AW185" s="2284"/>
      <c r="AX185" s="2284"/>
      <c r="AY185" s="2284"/>
      <c r="AZ185" s="2284"/>
      <c r="BA185" s="2284"/>
      <c r="BB185" s="2284"/>
      <c r="BC185" s="2285"/>
      <c r="BD185" s="2286"/>
      <c r="BE185" s="2287"/>
    </row>
    <row r="186" spans="1:57" ht="15.75" customHeight="1">
      <c r="A186" s="1202"/>
      <c r="B186" s="1202"/>
      <c r="C186" s="2257" t="s">
        <v>2253</v>
      </c>
      <c r="D186" s="2258"/>
      <c r="E186" s="2258"/>
      <c r="F186" s="2258"/>
      <c r="G186" s="2258"/>
      <c r="H186" s="2258"/>
      <c r="I186" s="2258"/>
      <c r="J186" s="2258"/>
      <c r="K186" s="2258"/>
      <c r="L186" s="2258"/>
      <c r="M186" s="2258"/>
      <c r="N186" s="2266">
        <v>0</v>
      </c>
      <c r="O186" s="2266"/>
      <c r="P186" s="2266"/>
      <c r="Q186" s="2266"/>
      <c r="R186" s="2266"/>
      <c r="S186" s="2266"/>
      <c r="T186" s="2266"/>
      <c r="U186" s="2117"/>
      <c r="V186" s="2117"/>
      <c r="W186" s="2117"/>
      <c r="X186" s="2117"/>
      <c r="Y186" s="2117"/>
      <c r="Z186" s="2117"/>
      <c r="AA186" s="2117"/>
      <c r="AB186" s="2117"/>
      <c r="AC186" s="2117"/>
      <c r="AD186" s="2117"/>
      <c r="AE186" s="2118"/>
      <c r="AF186" s="1202"/>
      <c r="AG186" s="1202"/>
      <c r="AH186" s="2267" t="s">
        <v>2252</v>
      </c>
      <c r="AI186" s="2268"/>
      <c r="AJ186" s="2268"/>
      <c r="AK186" s="2268"/>
      <c r="AL186" s="2268"/>
      <c r="AM186" s="2268"/>
      <c r="AN186" s="2268"/>
      <c r="AO186" s="2268"/>
      <c r="AP186" s="2268"/>
      <c r="AQ186" s="2268"/>
      <c r="AR186" s="2268"/>
      <c r="AS186" s="2268"/>
      <c r="AT186" s="2268"/>
      <c r="AU186" s="2269"/>
      <c r="AV186" s="2269"/>
      <c r="AW186" s="2269"/>
      <c r="AX186" s="2269"/>
      <c r="AY186" s="2269"/>
      <c r="AZ186" s="2269"/>
      <c r="BA186" s="2269"/>
      <c r="BB186" s="2269"/>
      <c r="BC186" s="2276"/>
      <c r="BD186" s="2277"/>
      <c r="BE186" s="2278"/>
    </row>
    <row r="187" spans="1:57" ht="15.75" customHeight="1">
      <c r="A187" s="1202"/>
      <c r="B187" s="1202"/>
      <c r="C187" s="2292" t="s">
        <v>300</v>
      </c>
      <c r="D187" s="2235"/>
      <c r="E187" s="2288" t="s">
        <v>2250</v>
      </c>
      <c r="F187" s="2288"/>
      <c r="G187" s="2288"/>
      <c r="H187" s="2288"/>
      <c r="I187" s="2288"/>
      <c r="J187" s="2288"/>
      <c r="K187" s="2288"/>
      <c r="L187" s="2288"/>
      <c r="M187" s="2288"/>
      <c r="N187" s="2266">
        <v>0</v>
      </c>
      <c r="O187" s="2266"/>
      <c r="P187" s="2266"/>
      <c r="Q187" s="2266"/>
      <c r="R187" s="2266"/>
      <c r="S187" s="2266"/>
      <c r="T187" s="2266"/>
      <c r="U187" s="2117"/>
      <c r="V187" s="2117"/>
      <c r="W187" s="2117"/>
      <c r="X187" s="2117"/>
      <c r="Y187" s="2117"/>
      <c r="Z187" s="2117"/>
      <c r="AA187" s="2117"/>
      <c r="AB187" s="2117"/>
      <c r="AC187" s="2117"/>
      <c r="AD187" s="2117"/>
      <c r="AE187" s="2118"/>
      <c r="AF187" s="1202"/>
      <c r="AG187" s="1202"/>
      <c r="AH187" s="2293" t="s">
        <v>2251</v>
      </c>
      <c r="AI187" s="2294"/>
      <c r="AJ187" s="2294"/>
      <c r="AK187" s="2294"/>
      <c r="AL187" s="2294"/>
      <c r="AM187" s="2294"/>
      <c r="AN187" s="2294"/>
      <c r="AO187" s="2294"/>
      <c r="AP187" s="2294"/>
      <c r="AQ187" s="2294"/>
      <c r="AR187" s="2294"/>
      <c r="AS187" s="2294"/>
      <c r="AT187" s="2294"/>
      <c r="AU187" s="2295">
        <f>SUM(AU185:BB186)</f>
        <v>0</v>
      </c>
      <c r="AV187" s="2295"/>
      <c r="AW187" s="2295"/>
      <c r="AX187" s="2295"/>
      <c r="AY187" s="2295"/>
      <c r="AZ187" s="2295"/>
      <c r="BA187" s="2295"/>
      <c r="BB187" s="2295"/>
      <c r="BC187" s="2276"/>
      <c r="BD187" s="2277"/>
      <c r="BE187" s="2278"/>
    </row>
    <row r="188" spans="1:57" ht="15.75" customHeight="1" thickBot="1">
      <c r="A188" s="1202"/>
      <c r="B188" s="1202"/>
      <c r="C188" s="2155" t="s">
        <v>300</v>
      </c>
      <c r="D188" s="2105"/>
      <c r="E188" s="2288" t="s">
        <v>2250</v>
      </c>
      <c r="F188" s="2288"/>
      <c r="G188" s="2288"/>
      <c r="H188" s="2288"/>
      <c r="I188" s="2288"/>
      <c r="J188" s="2288"/>
      <c r="K188" s="2288"/>
      <c r="L188" s="2288"/>
      <c r="M188" s="2288"/>
      <c r="N188" s="2266">
        <v>0</v>
      </c>
      <c r="O188" s="2266"/>
      <c r="P188" s="2266"/>
      <c r="Q188" s="2266"/>
      <c r="R188" s="2266"/>
      <c r="S188" s="2266"/>
      <c r="T188" s="2266"/>
      <c r="U188" s="2117"/>
      <c r="V188" s="2117"/>
      <c r="W188" s="2117"/>
      <c r="X188" s="2117"/>
      <c r="Y188" s="2117"/>
      <c r="Z188" s="2117"/>
      <c r="AA188" s="2117"/>
      <c r="AB188" s="2117"/>
      <c r="AC188" s="2117"/>
      <c r="AD188" s="2117"/>
      <c r="AE188" s="2118"/>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89"/>
      <c r="BD188" s="2290"/>
      <c r="BE188" s="2291"/>
    </row>
    <row r="189" spans="1:57" ht="15.75" customHeight="1" thickBot="1">
      <c r="A189" s="1202"/>
      <c r="B189" s="1202"/>
      <c r="C189" s="2313" t="s">
        <v>300</v>
      </c>
      <c r="D189" s="2314"/>
      <c r="E189" s="2315" t="s">
        <v>2250</v>
      </c>
      <c r="F189" s="2315"/>
      <c r="G189" s="2315"/>
      <c r="H189" s="2315"/>
      <c r="I189" s="2315"/>
      <c r="J189" s="2315"/>
      <c r="K189" s="2315"/>
      <c r="L189" s="2315"/>
      <c r="M189" s="2316"/>
      <c r="N189" s="2317">
        <v>0</v>
      </c>
      <c r="O189" s="2317"/>
      <c r="P189" s="2317"/>
      <c r="Q189" s="2317"/>
      <c r="R189" s="2317"/>
      <c r="S189" s="2317"/>
      <c r="T189" s="2318"/>
      <c r="U189" s="2319"/>
      <c r="V189" s="2320"/>
      <c r="W189" s="2320"/>
      <c r="X189" s="2320"/>
      <c r="Y189" s="2320"/>
      <c r="Z189" s="2320"/>
      <c r="AA189" s="2320"/>
      <c r="AB189" s="2320"/>
      <c r="AC189" s="2320"/>
      <c r="AD189" s="2320"/>
      <c r="AE189" s="2321"/>
      <c r="AF189" s="1202"/>
      <c r="AG189" s="1202"/>
      <c r="AH189" s="2322" t="s">
        <v>2249</v>
      </c>
      <c r="AI189" s="2323"/>
      <c r="AJ189" s="2323"/>
      <c r="AK189" s="2323"/>
      <c r="AL189" s="2323"/>
      <c r="AM189" s="2323"/>
      <c r="AN189" s="2323"/>
      <c r="AO189" s="2323"/>
      <c r="AP189" s="2323"/>
      <c r="AQ189" s="2323"/>
      <c r="AR189" s="2323"/>
      <c r="AS189" s="2323"/>
      <c r="AT189" s="2323"/>
      <c r="AU189" s="2324"/>
      <c r="AV189" s="2324"/>
      <c r="AW189" s="2324"/>
      <c r="AX189" s="2324"/>
      <c r="AY189" s="2324"/>
      <c r="AZ189" s="2324"/>
      <c r="BA189" s="2324"/>
      <c r="BB189" s="2324"/>
      <c r="BC189" s="1159"/>
      <c r="BD189" s="1159"/>
      <c r="BE189" s="1246"/>
    </row>
    <row r="190" spans="1:57" ht="15.75" customHeight="1">
      <c r="A190" s="1202"/>
      <c r="B190" s="1202"/>
      <c r="C190" s="2296" t="s">
        <v>2248</v>
      </c>
      <c r="D190" s="2297"/>
      <c r="E190" s="2297"/>
      <c r="F190" s="2297"/>
      <c r="G190" s="2297"/>
      <c r="H190" s="2297"/>
      <c r="I190" s="2297"/>
      <c r="J190" s="2297"/>
      <c r="K190" s="2297"/>
      <c r="L190" s="2297"/>
      <c r="M190" s="2297"/>
      <c r="N190" s="2298">
        <f>SUM(N182:T189)</f>
        <v>3955000</v>
      </c>
      <c r="O190" s="2298"/>
      <c r="P190" s="2298"/>
      <c r="Q190" s="2298"/>
      <c r="R190" s="2298"/>
      <c r="S190" s="2298"/>
      <c r="T190" s="2299"/>
      <c r="U190" s="1202"/>
      <c r="V190" s="1202"/>
      <c r="W190" s="1202"/>
      <c r="X190" s="1202"/>
      <c r="Y190" s="1202"/>
      <c r="Z190" s="1202"/>
      <c r="AA190" s="1202"/>
      <c r="AB190" s="1202"/>
      <c r="AC190" s="1202"/>
      <c r="AD190" s="1202"/>
      <c r="AE190" s="1202"/>
      <c r="AF190" s="1202"/>
      <c r="AG190" s="1202"/>
      <c r="AH190" s="2300" t="s">
        <v>2247</v>
      </c>
      <c r="AI190" s="2301"/>
      <c r="AJ190" s="2301"/>
      <c r="AK190" s="2301"/>
      <c r="AL190" s="2301"/>
      <c r="AM190" s="2301"/>
      <c r="AN190" s="2301"/>
      <c r="AO190" s="2301"/>
      <c r="AP190" s="2301"/>
      <c r="AQ190" s="2301"/>
      <c r="AR190" s="2301"/>
      <c r="AS190" s="2301"/>
      <c r="AT190" s="2301"/>
      <c r="AU190" s="2301"/>
      <c r="AV190" s="2301"/>
      <c r="AW190" s="2301"/>
      <c r="AX190" s="2301"/>
      <c r="AY190" s="2301"/>
      <c r="AZ190" s="2301"/>
      <c r="BA190" s="2301"/>
      <c r="BB190" s="2301"/>
      <c r="BC190" s="2301"/>
      <c r="BD190" s="2301"/>
      <c r="BE190" s="2302"/>
    </row>
    <row r="191" spans="1:57" ht="15.75" customHeight="1" thickBot="1">
      <c r="A191" s="1202"/>
      <c r="B191" s="1202"/>
      <c r="C191" s="2306" t="s">
        <v>2246</v>
      </c>
      <c r="D191" s="2307"/>
      <c r="E191" s="2307"/>
      <c r="F191" s="2307"/>
      <c r="G191" s="2307"/>
      <c r="H191" s="2307"/>
      <c r="I191" s="2307"/>
      <c r="J191" s="2307"/>
      <c r="K191" s="2307"/>
      <c r="L191" s="2307"/>
      <c r="M191" s="2307"/>
      <c r="N191" s="2308">
        <f>(N180-N190)/J29</f>
        <v>672238.08849557524</v>
      </c>
      <c r="O191" s="2309"/>
      <c r="P191" s="2309"/>
      <c r="Q191" s="2309"/>
      <c r="R191" s="2309"/>
      <c r="S191" s="2309"/>
      <c r="T191" s="2310"/>
      <c r="U191" s="1210"/>
      <c r="V191" s="1202"/>
      <c r="W191" s="1202"/>
      <c r="X191" s="1202"/>
      <c r="Y191" s="1202"/>
      <c r="Z191" s="1202"/>
      <c r="AA191" s="1202"/>
      <c r="AB191" s="1202"/>
      <c r="AC191" s="1202"/>
      <c r="AD191" s="1202"/>
      <c r="AE191" s="1202"/>
      <c r="AF191" s="1202"/>
      <c r="AG191" s="1202"/>
      <c r="AH191" s="2303"/>
      <c r="AI191" s="2304"/>
      <c r="AJ191" s="2304"/>
      <c r="AK191" s="2304"/>
      <c r="AL191" s="2304"/>
      <c r="AM191" s="2304"/>
      <c r="AN191" s="2304"/>
      <c r="AO191" s="2304"/>
      <c r="AP191" s="2304"/>
      <c r="AQ191" s="2304"/>
      <c r="AR191" s="2304"/>
      <c r="AS191" s="2304"/>
      <c r="AT191" s="2304"/>
      <c r="AU191" s="2304"/>
      <c r="AV191" s="2304"/>
      <c r="AW191" s="2304"/>
      <c r="AX191" s="2304"/>
      <c r="AY191" s="2304"/>
      <c r="AZ191" s="2304"/>
      <c r="BA191" s="2304"/>
      <c r="BB191" s="2304"/>
      <c r="BC191" s="2304"/>
      <c r="BD191" s="2304"/>
      <c r="BE191" s="2305"/>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311"/>
      <c r="AI192" s="2311"/>
      <c r="AJ192" s="2311"/>
      <c r="AK192" s="2311"/>
      <c r="AL192" s="2311"/>
      <c r="AM192" s="2311"/>
      <c r="AN192" s="2311"/>
      <c r="AO192" s="2311"/>
      <c r="AP192" s="2311"/>
      <c r="AQ192" s="2311"/>
      <c r="AR192" s="2311"/>
      <c r="AS192" s="2312"/>
      <c r="AT192" s="2312"/>
      <c r="AU192" s="2312"/>
      <c r="AV192" s="2312"/>
      <c r="AW192" s="2312"/>
      <c r="AX192" s="2312"/>
      <c r="AY192" s="2312"/>
      <c r="AZ192" s="2312"/>
      <c r="BA192" s="2312"/>
      <c r="BB192" s="2312"/>
      <c r="BC192" s="2312"/>
      <c r="BD192" s="2312"/>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330" t="s">
        <v>2245</v>
      </c>
      <c r="D194" s="2331"/>
      <c r="E194" s="2331"/>
      <c r="F194" s="2331"/>
      <c r="G194" s="2331"/>
      <c r="H194" s="2331"/>
      <c r="I194" s="2331"/>
      <c r="J194" s="2331"/>
      <c r="K194" s="2331"/>
      <c r="L194" s="2331"/>
      <c r="M194" s="2331"/>
      <c r="N194" s="2331"/>
      <c r="O194" s="2331"/>
      <c r="P194" s="2331"/>
      <c r="Q194" s="2331"/>
      <c r="R194" s="2331"/>
      <c r="S194" s="2331"/>
      <c r="T194" s="2331"/>
      <c r="U194" s="2331"/>
      <c r="V194" s="2331"/>
      <c r="W194" s="2331"/>
      <c r="X194" s="2331"/>
      <c r="Y194" s="2331"/>
      <c r="Z194" s="2331"/>
      <c r="AA194" s="2331"/>
      <c r="AB194" s="2331"/>
      <c r="AC194" s="2331"/>
      <c r="AD194" s="2331"/>
      <c r="AE194" s="2332"/>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333" t="s">
        <v>2244</v>
      </c>
      <c r="D195" s="2333"/>
      <c r="E195" s="2333"/>
      <c r="F195" s="2333"/>
      <c r="G195" s="2333"/>
      <c r="H195" s="2333"/>
      <c r="I195" s="2333"/>
      <c r="J195" s="2333"/>
      <c r="K195" s="2333"/>
      <c r="L195" s="2333"/>
      <c r="M195" s="2333"/>
      <c r="N195" s="2333"/>
      <c r="O195" s="2334" t="s">
        <v>2243</v>
      </c>
      <c r="P195" s="2334"/>
      <c r="Q195" s="2334"/>
      <c r="R195" s="2334"/>
      <c r="S195" s="2334"/>
      <c r="T195" s="2334"/>
      <c r="U195" s="2334"/>
      <c r="V195" s="2334"/>
      <c r="W195" s="2334"/>
      <c r="X195" s="2334" t="s">
        <v>2242</v>
      </c>
      <c r="Y195" s="2334"/>
      <c r="Z195" s="2334"/>
      <c r="AA195" s="2334"/>
      <c r="AB195" s="2334"/>
      <c r="AC195" s="2334"/>
      <c r="AD195" s="2334"/>
      <c r="AE195" s="2334"/>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325" t="s">
        <v>2241</v>
      </c>
      <c r="D196" s="2325"/>
      <c r="E196" s="2325"/>
      <c r="F196" s="2325"/>
      <c r="G196" s="2325"/>
      <c r="H196" s="2325"/>
      <c r="I196" s="2325"/>
      <c r="J196" s="2325"/>
      <c r="K196" s="2325"/>
      <c r="L196" s="2325"/>
      <c r="M196" s="2325"/>
      <c r="N196" s="2325"/>
      <c r="O196" s="2326" t="s">
        <v>2240</v>
      </c>
      <c r="P196" s="2326"/>
      <c r="Q196" s="2326"/>
      <c r="R196" s="2326"/>
      <c r="S196" s="2326"/>
      <c r="T196" s="2326"/>
      <c r="U196" s="2326"/>
      <c r="V196" s="2326"/>
      <c r="W196" s="2326"/>
      <c r="X196" s="2327">
        <v>0.03</v>
      </c>
      <c r="Y196" s="2327"/>
      <c r="Z196" s="2327"/>
      <c r="AA196" s="2327"/>
      <c r="AB196" s="2327"/>
      <c r="AC196" s="2327"/>
      <c r="AD196" s="2327"/>
      <c r="AE196" s="2327"/>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325" t="s">
        <v>852</v>
      </c>
      <c r="D197" s="2325"/>
      <c r="E197" s="2325"/>
      <c r="F197" s="2325"/>
      <c r="G197" s="2325"/>
      <c r="H197" s="2325"/>
      <c r="I197" s="2325"/>
      <c r="J197" s="2325"/>
      <c r="K197" s="2325"/>
      <c r="L197" s="2325"/>
      <c r="M197" s="2325"/>
      <c r="N197" s="2325"/>
      <c r="O197" s="2326" t="s">
        <v>2240</v>
      </c>
      <c r="P197" s="2326"/>
      <c r="Q197" s="2326"/>
      <c r="R197" s="2326"/>
      <c r="S197" s="2326"/>
      <c r="T197" s="2326"/>
      <c r="U197" s="2326"/>
      <c r="V197" s="2326"/>
      <c r="W197" s="2326"/>
      <c r="X197" s="2327">
        <v>0.03</v>
      </c>
      <c r="Y197" s="2327"/>
      <c r="Z197" s="2327"/>
      <c r="AA197" s="2327"/>
      <c r="AB197" s="2327"/>
      <c r="AC197" s="2327"/>
      <c r="AD197" s="2327"/>
      <c r="AE197" s="2327"/>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325" t="s">
        <v>2239</v>
      </c>
      <c r="D198" s="2325"/>
      <c r="E198" s="2325"/>
      <c r="F198" s="2325"/>
      <c r="G198" s="2325"/>
      <c r="H198" s="2325"/>
      <c r="I198" s="2325"/>
      <c r="J198" s="2325"/>
      <c r="K198" s="2325"/>
      <c r="L198" s="2325"/>
      <c r="M198" s="2325"/>
      <c r="N198" s="2325"/>
      <c r="O198" s="2328">
        <f>SUM(O196:W197)</f>
        <v>0</v>
      </c>
      <c r="P198" s="2329"/>
      <c r="Q198" s="2329"/>
      <c r="R198" s="2329"/>
      <c r="S198" s="2329"/>
      <c r="T198" s="2329"/>
      <c r="U198" s="2329"/>
      <c r="V198" s="2329"/>
      <c r="W198" s="2329"/>
      <c r="X198" s="2329" t="s">
        <v>2238</v>
      </c>
      <c r="Y198" s="2329"/>
      <c r="Z198" s="2329"/>
      <c r="AA198" s="2329"/>
      <c r="AB198" s="2329"/>
      <c r="AC198" s="2329"/>
      <c r="AD198" s="2329"/>
      <c r="AE198" s="2329"/>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335" t="s">
        <v>2237</v>
      </c>
      <c r="D199" s="2335"/>
      <c r="E199" s="2335"/>
      <c r="F199" s="2335"/>
      <c r="G199" s="2335"/>
      <c r="H199" s="2335"/>
      <c r="I199" s="2335"/>
      <c r="J199" s="2335"/>
      <c r="K199" s="2335"/>
      <c r="L199" s="2335"/>
      <c r="M199" s="2335"/>
      <c r="N199" s="2335"/>
      <c r="O199" s="2335"/>
      <c r="P199" s="2335"/>
      <c r="Q199" s="2335"/>
      <c r="R199" s="2335"/>
      <c r="S199" s="2335"/>
      <c r="T199" s="2335"/>
      <c r="U199" s="2335"/>
      <c r="V199" s="2335"/>
      <c r="W199" s="2335"/>
      <c r="X199" s="2335"/>
      <c r="Y199" s="2335"/>
      <c r="Z199" s="2335"/>
      <c r="AA199" s="2335"/>
      <c r="AB199" s="2335"/>
      <c r="AC199" s="2335"/>
      <c r="AD199" s="2335"/>
      <c r="AE199" s="2335"/>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336" t="s">
        <v>2236</v>
      </c>
      <c r="D201" s="2337"/>
      <c r="E201" s="2337"/>
      <c r="F201" s="2337"/>
      <c r="G201" s="2337"/>
      <c r="H201" s="2337"/>
      <c r="I201" s="2337"/>
      <c r="J201" s="2337"/>
      <c r="K201" s="2337"/>
      <c r="L201" s="2337"/>
      <c r="M201" s="2337"/>
      <c r="N201" s="2337"/>
      <c r="O201" s="2337"/>
      <c r="P201" s="2337"/>
      <c r="Q201" s="2337"/>
      <c r="R201" s="2337"/>
      <c r="S201" s="2337"/>
      <c r="T201" s="2337"/>
      <c r="U201" s="2337"/>
      <c r="V201" s="2337"/>
      <c r="W201" s="2337"/>
      <c r="X201" s="2337"/>
      <c r="Y201" s="2337"/>
      <c r="Z201" s="2337"/>
      <c r="AA201" s="2337"/>
      <c r="AB201" s="2337"/>
      <c r="AC201" s="2337"/>
      <c r="AD201" s="2337"/>
      <c r="AE201" s="2337"/>
      <c r="AF201" s="2337"/>
      <c r="AG201" s="2337"/>
      <c r="AH201" s="2337"/>
      <c r="AI201" s="2337"/>
      <c r="AJ201" s="2337"/>
      <c r="AK201" s="2338"/>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339" t="s">
        <v>2235</v>
      </c>
      <c r="D202" s="2340"/>
      <c r="E202" s="2340"/>
      <c r="F202" s="2341"/>
      <c r="G202" s="2345" t="s">
        <v>2234</v>
      </c>
      <c r="H202" s="2340"/>
      <c r="I202" s="2340"/>
      <c r="J202" s="2340"/>
      <c r="K202" s="2340"/>
      <c r="L202" s="2340"/>
      <c r="M202" s="2340"/>
      <c r="N202" s="2340"/>
      <c r="O202" s="2341"/>
      <c r="P202" s="2347" t="s">
        <v>2233</v>
      </c>
      <c r="Q202" s="2348"/>
      <c r="R202" s="2348"/>
      <c r="S202" s="2348"/>
      <c r="T202" s="2349"/>
      <c r="U202" s="2353" t="s">
        <v>2232</v>
      </c>
      <c r="V202" s="2354"/>
      <c r="W202" s="2354"/>
      <c r="X202" s="2355"/>
      <c r="Y202" s="2353" t="s">
        <v>2231</v>
      </c>
      <c r="Z202" s="2354"/>
      <c r="AA202" s="2354"/>
      <c r="AB202" s="2355"/>
      <c r="AC202" s="2353" t="s">
        <v>2230</v>
      </c>
      <c r="AD202" s="2354"/>
      <c r="AE202" s="2354"/>
      <c r="AF202" s="2355"/>
      <c r="AG202" s="2345" t="s">
        <v>2229</v>
      </c>
      <c r="AH202" s="2340"/>
      <c r="AI202" s="2340"/>
      <c r="AJ202" s="2340"/>
      <c r="AK202" s="2359"/>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342"/>
      <c r="D203" s="2343"/>
      <c r="E203" s="2343"/>
      <c r="F203" s="2344"/>
      <c r="G203" s="2346"/>
      <c r="H203" s="2343"/>
      <c r="I203" s="2343"/>
      <c r="J203" s="2343"/>
      <c r="K203" s="2343"/>
      <c r="L203" s="2343"/>
      <c r="M203" s="2343"/>
      <c r="N203" s="2343"/>
      <c r="O203" s="2344"/>
      <c r="P203" s="2350"/>
      <c r="Q203" s="2351"/>
      <c r="R203" s="2351"/>
      <c r="S203" s="2351"/>
      <c r="T203" s="2352"/>
      <c r="U203" s="2356"/>
      <c r="V203" s="2357"/>
      <c r="W203" s="2357"/>
      <c r="X203" s="2358"/>
      <c r="Y203" s="2356"/>
      <c r="Z203" s="2357"/>
      <c r="AA203" s="2357"/>
      <c r="AB203" s="2358"/>
      <c r="AC203" s="2356"/>
      <c r="AD203" s="2357"/>
      <c r="AE203" s="2357"/>
      <c r="AF203" s="2358"/>
      <c r="AG203" s="2346"/>
      <c r="AH203" s="2343"/>
      <c r="AI203" s="2343"/>
      <c r="AJ203" s="2343"/>
      <c r="AK203" s="2360"/>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64">
        <v>1</v>
      </c>
      <c r="D204" s="2365"/>
      <c r="E204" s="2365"/>
      <c r="F204" s="2365"/>
      <c r="G204" s="2366" t="s">
        <v>1851</v>
      </c>
      <c r="H204" s="2366"/>
      <c r="I204" s="2366"/>
      <c r="J204" s="2366"/>
      <c r="K204" s="2366"/>
      <c r="L204" s="2366"/>
      <c r="M204" s="2366"/>
      <c r="N204" s="2366"/>
      <c r="O204" s="2366"/>
      <c r="P204" s="2367"/>
      <c r="Q204" s="2370"/>
      <c r="R204" s="2370"/>
      <c r="S204" s="2370"/>
      <c r="T204" s="2370"/>
      <c r="U204" s="2368" t="s">
        <v>1851</v>
      </c>
      <c r="V204" s="2368"/>
      <c r="W204" s="2368"/>
      <c r="X204" s="2368"/>
      <c r="Y204" s="2368" t="s">
        <v>1851</v>
      </c>
      <c r="Z204" s="2368"/>
      <c r="AA204" s="2368"/>
      <c r="AB204" s="2368"/>
      <c r="AC204" s="2369" t="s">
        <v>1851</v>
      </c>
      <c r="AD204" s="2369"/>
      <c r="AE204" s="2369"/>
      <c r="AF204" s="2369"/>
      <c r="AG204" s="2361"/>
      <c r="AH204" s="2362"/>
      <c r="AI204" s="2362"/>
      <c r="AJ204" s="2362"/>
      <c r="AK204" s="2363"/>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64">
        <v>2</v>
      </c>
      <c r="D205" s="2365"/>
      <c r="E205" s="2365"/>
      <c r="F205" s="2365"/>
      <c r="G205" s="2366" t="s">
        <v>1851</v>
      </c>
      <c r="H205" s="2366"/>
      <c r="I205" s="2366"/>
      <c r="J205" s="2366"/>
      <c r="K205" s="2366"/>
      <c r="L205" s="2366"/>
      <c r="M205" s="2366"/>
      <c r="N205" s="2366"/>
      <c r="O205" s="2366"/>
      <c r="P205" s="2367"/>
      <c r="Q205" s="2367"/>
      <c r="R205" s="2367"/>
      <c r="S205" s="2367"/>
      <c r="T205" s="2367"/>
      <c r="U205" s="2368" t="s">
        <v>1851</v>
      </c>
      <c r="V205" s="2368"/>
      <c r="W205" s="2368"/>
      <c r="X205" s="2368"/>
      <c r="Y205" s="2368" t="s">
        <v>1851</v>
      </c>
      <c r="Z205" s="2368"/>
      <c r="AA205" s="2368"/>
      <c r="AB205" s="2368"/>
      <c r="AC205" s="2369" t="s">
        <v>1851</v>
      </c>
      <c r="AD205" s="2369"/>
      <c r="AE205" s="2369"/>
      <c r="AF205" s="2369"/>
      <c r="AG205" s="2361"/>
      <c r="AH205" s="2362"/>
      <c r="AI205" s="2362"/>
      <c r="AJ205" s="2362"/>
      <c r="AK205" s="2363"/>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64">
        <v>3</v>
      </c>
      <c r="D206" s="2365"/>
      <c r="E206" s="2365"/>
      <c r="F206" s="2365"/>
      <c r="G206" s="2366" t="s">
        <v>1851</v>
      </c>
      <c r="H206" s="2366"/>
      <c r="I206" s="2366"/>
      <c r="J206" s="2366"/>
      <c r="K206" s="2366"/>
      <c r="L206" s="2366"/>
      <c r="M206" s="2366"/>
      <c r="N206" s="2366"/>
      <c r="O206" s="2366"/>
      <c r="P206" s="2367"/>
      <c r="Q206" s="2367"/>
      <c r="R206" s="2367"/>
      <c r="S206" s="2367"/>
      <c r="T206" s="2367"/>
      <c r="U206" s="2368" t="s">
        <v>1851</v>
      </c>
      <c r="V206" s="2368"/>
      <c r="W206" s="2368"/>
      <c r="X206" s="2368"/>
      <c r="Y206" s="2368" t="s">
        <v>1851</v>
      </c>
      <c r="Z206" s="2368"/>
      <c r="AA206" s="2368"/>
      <c r="AB206" s="2368"/>
      <c r="AC206" s="2369" t="s">
        <v>1851</v>
      </c>
      <c r="AD206" s="2369"/>
      <c r="AE206" s="2369"/>
      <c r="AF206" s="2369"/>
      <c r="AG206" s="2361"/>
      <c r="AH206" s="2362"/>
      <c r="AI206" s="2362"/>
      <c r="AJ206" s="2362"/>
      <c r="AK206" s="2363"/>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64">
        <v>4</v>
      </c>
      <c r="D207" s="2365"/>
      <c r="E207" s="2365"/>
      <c r="F207" s="2365"/>
      <c r="G207" s="2366" t="s">
        <v>1851</v>
      </c>
      <c r="H207" s="2366"/>
      <c r="I207" s="2366"/>
      <c r="J207" s="2366"/>
      <c r="K207" s="2366"/>
      <c r="L207" s="2366"/>
      <c r="M207" s="2366"/>
      <c r="N207" s="2366"/>
      <c r="O207" s="2366"/>
      <c r="P207" s="2367"/>
      <c r="Q207" s="2367"/>
      <c r="R207" s="2367"/>
      <c r="S207" s="2367"/>
      <c r="T207" s="2367"/>
      <c r="U207" s="2368" t="s">
        <v>1851</v>
      </c>
      <c r="V207" s="2368"/>
      <c r="W207" s="2368"/>
      <c r="X207" s="2368"/>
      <c r="Y207" s="2368" t="s">
        <v>1851</v>
      </c>
      <c r="Z207" s="2368"/>
      <c r="AA207" s="2368"/>
      <c r="AB207" s="2368"/>
      <c r="AC207" s="2369" t="s">
        <v>1851</v>
      </c>
      <c r="AD207" s="2369"/>
      <c r="AE207" s="2369"/>
      <c r="AF207" s="2369"/>
      <c r="AG207" s="2361"/>
      <c r="AH207" s="2362"/>
      <c r="AI207" s="2362"/>
      <c r="AJ207" s="2362"/>
      <c r="AK207" s="2363"/>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64">
        <v>5</v>
      </c>
      <c r="D208" s="2365"/>
      <c r="E208" s="2365"/>
      <c r="F208" s="2365"/>
      <c r="G208" s="2366" t="s">
        <v>1851</v>
      </c>
      <c r="H208" s="2366"/>
      <c r="I208" s="2366"/>
      <c r="J208" s="2366"/>
      <c r="K208" s="2366"/>
      <c r="L208" s="2366"/>
      <c r="M208" s="2366"/>
      <c r="N208" s="2366"/>
      <c r="O208" s="2366"/>
      <c r="P208" s="2367"/>
      <c r="Q208" s="2367"/>
      <c r="R208" s="2367"/>
      <c r="S208" s="2367"/>
      <c r="T208" s="2367"/>
      <c r="U208" s="2368" t="s">
        <v>1851</v>
      </c>
      <c r="V208" s="2368"/>
      <c r="W208" s="2368"/>
      <c r="X208" s="2368"/>
      <c r="Y208" s="2368" t="s">
        <v>1851</v>
      </c>
      <c r="Z208" s="2368"/>
      <c r="AA208" s="2368"/>
      <c r="AB208" s="2368"/>
      <c r="AC208" s="2369" t="s">
        <v>1851</v>
      </c>
      <c r="AD208" s="2369"/>
      <c r="AE208" s="2369"/>
      <c r="AF208" s="2369"/>
      <c r="AG208" s="2361"/>
      <c r="AH208" s="2362"/>
      <c r="AI208" s="2362"/>
      <c r="AJ208" s="2362"/>
      <c r="AK208" s="2363"/>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64">
        <v>6</v>
      </c>
      <c r="D209" s="2365"/>
      <c r="E209" s="2365"/>
      <c r="F209" s="2365"/>
      <c r="G209" s="2366" t="s">
        <v>1851</v>
      </c>
      <c r="H209" s="2366"/>
      <c r="I209" s="2366"/>
      <c r="J209" s="2366"/>
      <c r="K209" s="2366"/>
      <c r="L209" s="2366"/>
      <c r="M209" s="2366"/>
      <c r="N209" s="2366"/>
      <c r="O209" s="2366"/>
      <c r="P209" s="2367"/>
      <c r="Q209" s="2367"/>
      <c r="R209" s="2367"/>
      <c r="S209" s="2367"/>
      <c r="T209" s="2367"/>
      <c r="U209" s="2368"/>
      <c r="V209" s="2368"/>
      <c r="W209" s="2368"/>
      <c r="X209" s="2368"/>
      <c r="Y209" s="2368"/>
      <c r="Z209" s="2368"/>
      <c r="AA209" s="2368"/>
      <c r="AB209" s="2368"/>
      <c r="AC209" s="2369" t="s">
        <v>1851</v>
      </c>
      <c r="AD209" s="2369"/>
      <c r="AE209" s="2369"/>
      <c r="AF209" s="2369"/>
      <c r="AG209" s="2361"/>
      <c r="AH209" s="2362"/>
      <c r="AI209" s="2362"/>
      <c r="AJ209" s="2362"/>
      <c r="AK209" s="2363"/>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64">
        <v>7</v>
      </c>
      <c r="D210" s="2365"/>
      <c r="E210" s="2365"/>
      <c r="F210" s="2365"/>
      <c r="G210" s="2366"/>
      <c r="H210" s="2366"/>
      <c r="I210" s="2366"/>
      <c r="J210" s="2366"/>
      <c r="K210" s="2366"/>
      <c r="L210" s="2366"/>
      <c r="M210" s="2366"/>
      <c r="N210" s="2366"/>
      <c r="O210" s="2366"/>
      <c r="P210" s="2367"/>
      <c r="Q210" s="2367"/>
      <c r="R210" s="2367"/>
      <c r="S210" s="2367"/>
      <c r="T210" s="2367"/>
      <c r="U210" s="2368"/>
      <c r="V210" s="2368"/>
      <c r="W210" s="2368"/>
      <c r="X210" s="2368"/>
      <c r="Y210" s="2368"/>
      <c r="Z210" s="2368"/>
      <c r="AA210" s="2368"/>
      <c r="AB210" s="2368"/>
      <c r="AC210" s="2369" t="s">
        <v>1851</v>
      </c>
      <c r="AD210" s="2369"/>
      <c r="AE210" s="2369"/>
      <c r="AF210" s="2369"/>
      <c r="AG210" s="2361"/>
      <c r="AH210" s="2362"/>
      <c r="AI210" s="2362"/>
      <c r="AJ210" s="2362"/>
      <c r="AK210" s="2363"/>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83" t="s">
        <v>2228</v>
      </c>
      <c r="D211" s="2384"/>
      <c r="E211" s="2384"/>
      <c r="F211" s="2384"/>
      <c r="G211" s="2384"/>
      <c r="H211" s="2384"/>
      <c r="I211" s="2384"/>
      <c r="J211" s="2384"/>
      <c r="K211" s="2384"/>
      <c r="L211" s="2384"/>
      <c r="M211" s="2384"/>
      <c r="N211" s="2384"/>
      <c r="O211" s="2384"/>
      <c r="P211" s="2385"/>
      <c r="Q211" s="2385"/>
      <c r="R211" s="2385"/>
      <c r="S211" s="2385"/>
      <c r="T211" s="2385"/>
      <c r="U211" s="2386">
        <f>-SUM(U204:U210)</f>
        <v>0</v>
      </c>
      <c r="V211" s="2386"/>
      <c r="W211" s="2386"/>
      <c r="X211" s="2386"/>
      <c r="Y211" s="2386">
        <f>-SUM(Y204:Y210)</f>
        <v>0</v>
      </c>
      <c r="Z211" s="2386"/>
      <c r="AA211" s="2386"/>
      <c r="AB211" s="2386"/>
      <c r="AC211" s="2387">
        <f>-SUM(AC204:AC210)</f>
        <v>0</v>
      </c>
      <c r="AD211" s="2387"/>
      <c r="AE211" s="2387"/>
      <c r="AF211" s="2387"/>
      <c r="AG211" s="2388"/>
      <c r="AH211" s="2389"/>
      <c r="AI211" s="2389"/>
      <c r="AJ211" s="2389"/>
      <c r="AK211" s="2390"/>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71" t="s">
        <v>2226</v>
      </c>
      <c r="C216" s="2372"/>
      <c r="D216" s="2372"/>
      <c r="E216" s="2372"/>
      <c r="F216" s="2372"/>
      <c r="G216" s="2372"/>
      <c r="H216" s="2372"/>
      <c r="I216" s="2372"/>
      <c r="J216" s="2372"/>
      <c r="K216" s="2372"/>
      <c r="L216" s="2372"/>
      <c r="M216" s="2372"/>
      <c r="N216" s="2372"/>
      <c r="O216" s="2372"/>
      <c r="P216" s="2372"/>
      <c r="Q216" s="2372"/>
      <c r="R216" s="2372"/>
      <c r="S216" s="2372"/>
      <c r="T216" s="2372"/>
      <c r="U216" s="2372"/>
      <c r="V216" s="2372"/>
      <c r="W216" s="2372"/>
      <c r="X216" s="2372"/>
      <c r="Y216" s="2372"/>
      <c r="Z216" s="2372"/>
      <c r="AA216" s="2372"/>
      <c r="AB216" s="2372"/>
      <c r="AC216" s="2372"/>
      <c r="AD216" s="2372"/>
      <c r="AE216" s="2372"/>
      <c r="AF216" s="2372"/>
      <c r="AG216" s="2372"/>
      <c r="AH216" s="2372"/>
      <c r="AI216" s="2372"/>
      <c r="AJ216" s="2372"/>
      <c r="AK216" s="2372"/>
      <c r="AL216" s="2372"/>
      <c r="AM216" s="2372"/>
      <c r="AN216" s="2372"/>
      <c r="AO216" s="2372"/>
      <c r="AP216" s="2372"/>
      <c r="AQ216" s="2372"/>
      <c r="AR216" s="2372"/>
      <c r="AS216" s="2372"/>
      <c r="AT216" s="2372"/>
      <c r="AU216" s="2372"/>
      <c r="AV216" s="2372"/>
      <c r="AW216" s="2372"/>
      <c r="AX216" s="2372"/>
      <c r="AY216" s="2372"/>
      <c r="AZ216" s="2372"/>
      <c r="BA216" s="2372"/>
      <c r="BB216" s="2372"/>
      <c r="BC216" s="2372"/>
      <c r="BD216" s="2373"/>
      <c r="BE216" s="1209"/>
    </row>
    <row r="217" spans="1:57" ht="15.75" customHeight="1">
      <c r="A217" s="1202"/>
      <c r="B217" s="2374"/>
      <c r="C217" s="2375"/>
      <c r="D217" s="2375"/>
      <c r="E217" s="2375"/>
      <c r="F217" s="2375"/>
      <c r="G217" s="2375"/>
      <c r="H217" s="2375"/>
      <c r="I217" s="2375"/>
      <c r="J217" s="2375"/>
      <c r="K217" s="2375"/>
      <c r="L217" s="2375"/>
      <c r="M217" s="2375"/>
      <c r="N217" s="2375"/>
      <c r="O217" s="2375"/>
      <c r="P217" s="2375"/>
      <c r="Q217" s="2375"/>
      <c r="R217" s="2375"/>
      <c r="S217" s="2375"/>
      <c r="T217" s="2375"/>
      <c r="U217" s="2375"/>
      <c r="V217" s="2375"/>
      <c r="W217" s="2375"/>
      <c r="X217" s="2375"/>
      <c r="Y217" s="2375"/>
      <c r="Z217" s="2375"/>
      <c r="AA217" s="2375"/>
      <c r="AB217" s="2375"/>
      <c r="AC217" s="2375"/>
      <c r="AD217" s="2375"/>
      <c r="AE217" s="2375"/>
      <c r="AF217" s="2375"/>
      <c r="AG217" s="2375"/>
      <c r="AH217" s="2375"/>
      <c r="AI217" s="2375"/>
      <c r="AJ217" s="2375"/>
      <c r="AK217" s="2375"/>
      <c r="AL217" s="2375"/>
      <c r="AM217" s="2375"/>
      <c r="AN217" s="2375"/>
      <c r="AO217" s="2375"/>
      <c r="AP217" s="2375"/>
      <c r="AQ217" s="2375"/>
      <c r="AR217" s="2375"/>
      <c r="AS217" s="2375"/>
      <c r="AT217" s="2375"/>
      <c r="AU217" s="2375"/>
      <c r="AV217" s="2375"/>
      <c r="AW217" s="2375"/>
      <c r="AX217" s="2375"/>
      <c r="AY217" s="2375"/>
      <c r="AZ217" s="2375"/>
      <c r="BA217" s="2375"/>
      <c r="BB217" s="2375"/>
      <c r="BC217" s="2375"/>
      <c r="BD217" s="2376"/>
      <c r="BE217" s="1209"/>
    </row>
    <row r="218" spans="1:57" ht="15.75" customHeight="1">
      <c r="A218" s="1202"/>
      <c r="B218" s="2377" t="s">
        <v>2225</v>
      </c>
      <c r="C218" s="2378"/>
      <c r="D218" s="2378"/>
      <c r="E218" s="2378"/>
      <c r="F218" s="2378"/>
      <c r="G218" s="2378"/>
      <c r="H218" s="2378"/>
      <c r="I218" s="2378"/>
      <c r="J218" s="2378"/>
      <c r="K218" s="2378"/>
      <c r="L218" s="2378"/>
      <c r="M218" s="2378"/>
      <c r="N218" s="2378"/>
      <c r="O218" s="2378"/>
      <c r="P218" s="2378"/>
      <c r="Q218" s="2378"/>
      <c r="R218" s="2378"/>
      <c r="S218" s="2378"/>
      <c r="T218" s="2378"/>
      <c r="U218" s="2378"/>
      <c r="V218" s="2378"/>
      <c r="W218" s="2378"/>
      <c r="X218" s="2378"/>
      <c r="Y218" s="2378"/>
      <c r="Z218" s="2378"/>
      <c r="AA218" s="2378"/>
      <c r="AB218" s="2378"/>
      <c r="AC218" s="2378"/>
      <c r="AD218" s="2378"/>
      <c r="AE218" s="2378"/>
      <c r="AF218" s="2378"/>
      <c r="AG218" s="2378"/>
      <c r="AH218" s="2378"/>
      <c r="AI218" s="2378"/>
      <c r="AJ218" s="2378"/>
      <c r="AK218" s="2378"/>
      <c r="AL218" s="2378"/>
      <c r="AM218" s="2378"/>
      <c r="AN218" s="2378"/>
      <c r="AO218" s="2378"/>
      <c r="AP218" s="2378"/>
      <c r="AQ218" s="2378"/>
      <c r="AR218" s="2378"/>
      <c r="AS218" s="2378"/>
      <c r="AT218" s="2378"/>
      <c r="AU218" s="2378"/>
      <c r="AV218" s="2378"/>
      <c r="AW218" s="2378"/>
      <c r="AX218" s="2378"/>
      <c r="AY218" s="2378"/>
      <c r="AZ218" s="2378"/>
      <c r="BA218" s="2378"/>
      <c r="BB218" s="2378"/>
      <c r="BC218" s="2378"/>
      <c r="BD218" s="2379"/>
      <c r="BE218" s="1209"/>
    </row>
    <row r="219" spans="1:57" ht="15.75" customHeight="1">
      <c r="A219" s="1202"/>
      <c r="B219" s="2377" t="s">
        <v>2224</v>
      </c>
      <c r="C219" s="2378"/>
      <c r="D219" s="2378"/>
      <c r="E219" s="2378"/>
      <c r="F219" s="2378"/>
      <c r="G219" s="2378"/>
      <c r="H219" s="2378"/>
      <c r="I219" s="2378"/>
      <c r="J219" s="2378"/>
      <c r="K219" s="2378"/>
      <c r="L219" s="2378"/>
      <c r="M219" s="2378"/>
      <c r="N219" s="2378"/>
      <c r="O219" s="2378"/>
      <c r="P219" s="2378"/>
      <c r="Q219" s="2378"/>
      <c r="R219" s="2378"/>
      <c r="S219" s="2378"/>
      <c r="T219" s="2378"/>
      <c r="U219" s="2378"/>
      <c r="V219" s="2378"/>
      <c r="W219" s="2378"/>
      <c r="X219" s="2378"/>
      <c r="Y219" s="2378"/>
      <c r="Z219" s="2378"/>
      <c r="AA219" s="2378"/>
      <c r="AB219" s="2378"/>
      <c r="AC219" s="2378"/>
      <c r="AD219" s="2378"/>
      <c r="AE219" s="2378"/>
      <c r="AF219" s="2378"/>
      <c r="AG219" s="2378"/>
      <c r="AH219" s="2378"/>
      <c r="AI219" s="2378"/>
      <c r="AJ219" s="2378"/>
      <c r="AK219" s="2378"/>
      <c r="AL219" s="2378"/>
      <c r="AM219" s="2378"/>
      <c r="AN219" s="2378"/>
      <c r="AO219" s="2378"/>
      <c r="AP219" s="2378"/>
      <c r="AQ219" s="2378"/>
      <c r="AR219" s="2378"/>
      <c r="AS219" s="2378"/>
      <c r="AT219" s="2378"/>
      <c r="AU219" s="2378"/>
      <c r="AV219" s="2378"/>
      <c r="AW219" s="2378"/>
      <c r="AX219" s="2378"/>
      <c r="AY219" s="2378"/>
      <c r="AZ219" s="2378"/>
      <c r="BA219" s="2378"/>
      <c r="BB219" s="2378"/>
      <c r="BC219" s="2378"/>
      <c r="BD219" s="2379"/>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80" t="s">
        <v>2223</v>
      </c>
      <c r="C221" s="2270"/>
      <c r="D221" s="2270"/>
      <c r="E221" s="2270"/>
      <c r="F221" s="2270"/>
      <c r="G221" s="2270"/>
      <c r="H221" s="2270"/>
      <c r="I221" s="2270"/>
      <c r="J221" s="2270"/>
      <c r="K221" s="2270"/>
      <c r="L221" s="2270"/>
      <c r="M221" s="2270"/>
      <c r="N221" s="2270"/>
      <c r="O221" s="2270"/>
      <c r="P221" s="2270"/>
      <c r="Q221" s="2270"/>
      <c r="R221" s="2270"/>
      <c r="S221" s="2270"/>
      <c r="T221" s="2270"/>
      <c r="U221" s="2270"/>
      <c r="V221" s="2270"/>
      <c r="W221" s="2270"/>
      <c r="X221" s="2270"/>
      <c r="Y221" s="2270"/>
      <c r="Z221" s="2270"/>
      <c r="AA221" s="2270"/>
      <c r="AB221" s="2270"/>
      <c r="AC221" s="2270"/>
      <c r="AD221" s="2270"/>
      <c r="AE221" s="2270"/>
      <c r="AF221" s="2270"/>
      <c r="AG221" s="2270"/>
      <c r="AH221" s="2270"/>
      <c r="AI221" s="2270"/>
      <c r="AJ221" s="2270"/>
      <c r="AK221" s="2270"/>
      <c r="AL221" s="2270"/>
      <c r="AM221" s="2270"/>
      <c r="AN221" s="2270"/>
      <c r="AO221" s="2270"/>
      <c r="AP221" s="2270"/>
      <c r="AQ221" s="2270"/>
      <c r="AR221" s="2270"/>
      <c r="AS221" s="2270"/>
      <c r="AT221" s="2270"/>
      <c r="AU221" s="2270"/>
      <c r="AV221" s="2270"/>
      <c r="AW221" s="2270"/>
      <c r="AX221" s="2270"/>
      <c r="AY221" s="2270"/>
      <c r="AZ221" s="2270"/>
      <c r="BA221" s="2270"/>
      <c r="BB221" s="2270"/>
      <c r="BC221" s="2270"/>
      <c r="BD221" s="2381"/>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82" t="s">
        <v>2221</v>
      </c>
      <c r="I225" s="2382"/>
      <c r="J225" s="2382"/>
      <c r="K225" s="2382"/>
      <c r="L225" s="2382"/>
      <c r="M225" s="2382"/>
      <c r="N225" s="2382"/>
      <c r="O225" s="2382"/>
      <c r="P225" s="2382"/>
      <c r="Q225" s="2382"/>
      <c r="R225" s="2382"/>
      <c r="S225" s="2382"/>
      <c r="T225" s="2382"/>
      <c r="U225" s="2382"/>
      <c r="V225" s="2382"/>
      <c r="W225" s="2382"/>
      <c r="X225" s="2382"/>
      <c r="Y225" s="2382"/>
      <c r="Z225" s="2382"/>
      <c r="AA225" s="2382"/>
      <c r="AB225" s="2382"/>
      <c r="AC225" s="2382"/>
      <c r="AD225" s="2382"/>
      <c r="AE225" s="2382"/>
      <c r="AF225" s="2382"/>
      <c r="AG225" s="2382"/>
      <c r="AH225" s="2382"/>
      <c r="AI225" s="2382"/>
      <c r="AJ225" s="2382"/>
      <c r="AK225" s="2382"/>
      <c r="AL225" s="2382"/>
      <c r="AM225" s="2382"/>
      <c r="AN225" s="2382"/>
      <c r="AO225" s="2382"/>
      <c r="AP225" s="2382"/>
      <c r="AQ225" s="2382"/>
      <c r="AR225" s="2382"/>
      <c r="AS225" s="2382"/>
      <c r="AT225" s="2382"/>
      <c r="AU225" s="2382"/>
      <c r="AV225" s="2382"/>
      <c r="AW225" s="2382"/>
      <c r="AX225" s="2382"/>
      <c r="AY225" s="2382"/>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400" t="s">
        <v>2220</v>
      </c>
      <c r="I227" s="2400"/>
      <c r="J227" s="2400"/>
      <c r="K227" s="2400"/>
      <c r="L227" s="2400"/>
      <c r="M227" s="2400"/>
      <c r="N227" s="2400"/>
      <c r="O227" s="2400"/>
      <c r="P227" s="2400"/>
      <c r="Q227" s="2400"/>
      <c r="R227" s="2400"/>
      <c r="S227" s="2400"/>
      <c r="T227" s="2400"/>
      <c r="U227" s="2400"/>
      <c r="V227" s="2400"/>
      <c r="W227" s="2400"/>
      <c r="X227" s="2400"/>
      <c r="Y227" s="2400"/>
      <c r="Z227" s="2400"/>
      <c r="AA227" s="2400"/>
      <c r="AB227" s="2400"/>
      <c r="AC227" s="2400"/>
      <c r="AD227" s="2400"/>
      <c r="AE227" s="2400"/>
      <c r="AF227" s="2400"/>
      <c r="AG227" s="2400"/>
      <c r="AH227" s="2400"/>
      <c r="AI227" s="2400"/>
      <c r="AJ227" s="2400"/>
      <c r="AK227" s="2400"/>
      <c r="AL227" s="2400"/>
      <c r="AM227" s="2400"/>
      <c r="AN227" s="2400"/>
      <c r="AO227" s="2400"/>
      <c r="AP227" s="2400"/>
      <c r="AQ227" s="2400"/>
      <c r="AR227" s="2400"/>
      <c r="AS227" s="2400"/>
      <c r="AT227" s="2400"/>
      <c r="AU227" s="2400"/>
      <c r="AV227" s="2400"/>
      <c r="AW227" s="2400"/>
      <c r="AX227" s="2400"/>
      <c r="AY227" s="2400"/>
      <c r="AZ227" s="2400"/>
      <c r="BA227" s="1202"/>
      <c r="BB227" s="1202"/>
      <c r="BC227" s="1202"/>
      <c r="BD227" s="1209"/>
      <c r="BE227" s="1209"/>
    </row>
    <row r="228" spans="1:57" ht="15.75" customHeight="1">
      <c r="A228" s="1202"/>
      <c r="B228" s="1201"/>
      <c r="C228" s="1202"/>
      <c r="D228" s="1202"/>
      <c r="E228" s="1202"/>
      <c r="F228" s="1202"/>
      <c r="G228" s="1202"/>
      <c r="H228" s="2400"/>
      <c r="I228" s="2400"/>
      <c r="J228" s="2400"/>
      <c r="K228" s="2400"/>
      <c r="L228" s="2400"/>
      <c r="M228" s="2400"/>
      <c r="N228" s="2400"/>
      <c r="O228" s="2400"/>
      <c r="P228" s="2400"/>
      <c r="Q228" s="2400"/>
      <c r="R228" s="2400"/>
      <c r="S228" s="2400"/>
      <c r="T228" s="2400"/>
      <c r="U228" s="2400"/>
      <c r="V228" s="2400"/>
      <c r="W228" s="2400"/>
      <c r="X228" s="2400"/>
      <c r="Y228" s="2400"/>
      <c r="Z228" s="2400"/>
      <c r="AA228" s="2400"/>
      <c r="AB228" s="2400"/>
      <c r="AC228" s="2400"/>
      <c r="AD228" s="2400"/>
      <c r="AE228" s="2400"/>
      <c r="AF228" s="2400"/>
      <c r="AG228" s="2400"/>
      <c r="AH228" s="2400"/>
      <c r="AI228" s="2400"/>
      <c r="AJ228" s="2400"/>
      <c r="AK228" s="2400"/>
      <c r="AL228" s="2400"/>
      <c r="AM228" s="2400"/>
      <c r="AN228" s="2400"/>
      <c r="AO228" s="2400"/>
      <c r="AP228" s="2400"/>
      <c r="AQ228" s="2400"/>
      <c r="AR228" s="2400"/>
      <c r="AS228" s="2400"/>
      <c r="AT228" s="2400"/>
      <c r="AU228" s="2400"/>
      <c r="AV228" s="2400"/>
      <c r="AW228" s="2400"/>
      <c r="AX228" s="2400"/>
      <c r="AY228" s="2400"/>
      <c r="AZ228" s="2400"/>
      <c r="BA228" s="1202"/>
      <c r="BB228" s="1202"/>
      <c r="BC228" s="1202"/>
      <c r="BD228" s="1209"/>
      <c r="BE228" s="1209"/>
    </row>
    <row r="229" spans="1:57" ht="15.75" customHeight="1">
      <c r="A229" s="1202"/>
      <c r="B229" s="1201"/>
      <c r="C229" s="1202"/>
      <c r="D229" s="1202"/>
      <c r="E229" s="1202"/>
      <c r="F229" s="1202"/>
      <c r="G229" s="1202"/>
      <c r="H229" s="2400"/>
      <c r="I229" s="2400"/>
      <c r="J229" s="2400"/>
      <c r="K229" s="2400"/>
      <c r="L229" s="2400"/>
      <c r="M229" s="2400"/>
      <c r="N229" s="2400"/>
      <c r="O229" s="2400"/>
      <c r="P229" s="2400"/>
      <c r="Q229" s="2400"/>
      <c r="R229" s="2400"/>
      <c r="S229" s="2400"/>
      <c r="T229" s="2400"/>
      <c r="U229" s="2400"/>
      <c r="V229" s="2400"/>
      <c r="W229" s="2400"/>
      <c r="X229" s="2400"/>
      <c r="Y229" s="2400"/>
      <c r="Z229" s="2400"/>
      <c r="AA229" s="2400"/>
      <c r="AB229" s="2400"/>
      <c r="AC229" s="2400"/>
      <c r="AD229" s="2400"/>
      <c r="AE229" s="2400"/>
      <c r="AF229" s="2400"/>
      <c r="AG229" s="2400"/>
      <c r="AH229" s="2400"/>
      <c r="AI229" s="2400"/>
      <c r="AJ229" s="2400"/>
      <c r="AK229" s="2400"/>
      <c r="AL229" s="2400"/>
      <c r="AM229" s="2400"/>
      <c r="AN229" s="2400"/>
      <c r="AO229" s="2400"/>
      <c r="AP229" s="2400"/>
      <c r="AQ229" s="2400"/>
      <c r="AR229" s="2400"/>
      <c r="AS229" s="2400"/>
      <c r="AT229" s="2400"/>
      <c r="AU229" s="2400"/>
      <c r="AV229" s="2400"/>
      <c r="AW229" s="2400"/>
      <c r="AX229" s="2400"/>
      <c r="AY229" s="2400"/>
      <c r="AZ229" s="2400"/>
      <c r="BA229" s="1202"/>
      <c r="BB229" s="1202"/>
      <c r="BC229" s="1202"/>
      <c r="BD229" s="1209"/>
      <c r="BE229" s="1209"/>
    </row>
    <row r="230" spans="1:57" ht="15.75" customHeight="1">
      <c r="A230" s="1202"/>
      <c r="B230" s="1201"/>
      <c r="C230" s="1202"/>
      <c r="D230" s="1202"/>
      <c r="E230" s="1202"/>
      <c r="F230" s="1202"/>
      <c r="G230" s="1202"/>
      <c r="H230" s="2400"/>
      <c r="I230" s="2400"/>
      <c r="J230" s="2400"/>
      <c r="K230" s="2400"/>
      <c r="L230" s="2400"/>
      <c r="M230" s="2400"/>
      <c r="N230" s="2400"/>
      <c r="O230" s="2400"/>
      <c r="P230" s="2400"/>
      <c r="Q230" s="2400"/>
      <c r="R230" s="2400"/>
      <c r="S230" s="2400"/>
      <c r="T230" s="2400"/>
      <c r="U230" s="2400"/>
      <c r="V230" s="2400"/>
      <c r="W230" s="2400"/>
      <c r="X230" s="2400"/>
      <c r="Y230" s="2400"/>
      <c r="Z230" s="2400"/>
      <c r="AA230" s="2400"/>
      <c r="AB230" s="2400"/>
      <c r="AC230" s="2400"/>
      <c r="AD230" s="2400"/>
      <c r="AE230" s="2400"/>
      <c r="AF230" s="2400"/>
      <c r="AG230" s="2400"/>
      <c r="AH230" s="2400"/>
      <c r="AI230" s="2400"/>
      <c r="AJ230" s="2400"/>
      <c r="AK230" s="2400"/>
      <c r="AL230" s="2400"/>
      <c r="AM230" s="2400"/>
      <c r="AN230" s="2400"/>
      <c r="AO230" s="2400"/>
      <c r="AP230" s="2400"/>
      <c r="AQ230" s="2400"/>
      <c r="AR230" s="2400"/>
      <c r="AS230" s="2400"/>
      <c r="AT230" s="2400"/>
      <c r="AU230" s="2400"/>
      <c r="AV230" s="2400"/>
      <c r="AW230" s="2400"/>
      <c r="AX230" s="2400"/>
      <c r="AY230" s="2400"/>
      <c r="AZ230" s="2400"/>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401" t="s">
        <v>2219</v>
      </c>
      <c r="I232" s="2401"/>
      <c r="J232" s="2401"/>
      <c r="K232" s="2401"/>
      <c r="L232" s="2401"/>
      <c r="M232" s="2401"/>
      <c r="N232" s="2401"/>
      <c r="O232" s="2401"/>
      <c r="P232" s="2401"/>
      <c r="Q232" s="2401"/>
      <c r="R232" s="2401"/>
      <c r="S232" s="2401"/>
      <c r="T232" s="2401"/>
      <c r="U232" s="2401"/>
      <c r="V232" s="2401"/>
      <c r="W232" s="2401"/>
      <c r="X232" s="2401"/>
      <c r="Y232" s="2401"/>
      <c r="Z232" s="2401"/>
      <c r="AA232" s="2401"/>
      <c r="AB232" s="2401"/>
      <c r="AC232" s="2401"/>
      <c r="AD232" s="2401"/>
      <c r="AE232" s="2401"/>
      <c r="AF232" s="2401"/>
      <c r="AG232" s="2401"/>
      <c r="AH232" s="2401"/>
      <c r="AI232" s="2401"/>
      <c r="AJ232" s="2401"/>
      <c r="AK232" s="2401"/>
      <c r="AL232" s="2401"/>
      <c r="AM232" s="2401"/>
      <c r="AN232" s="2401"/>
      <c r="AO232" s="2401"/>
      <c r="AP232" s="2401"/>
      <c r="AQ232" s="2401"/>
      <c r="AR232" s="2401"/>
      <c r="AS232" s="2401"/>
      <c r="AT232" s="2401"/>
      <c r="AU232" s="2401"/>
      <c r="AV232" s="2401"/>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91" t="s">
        <v>2218</v>
      </c>
      <c r="I234" s="2391"/>
      <c r="J234" s="2391"/>
      <c r="K234" s="2391"/>
      <c r="L234" s="1253"/>
      <c r="M234" s="1253"/>
      <c r="N234" s="1253"/>
      <c r="O234" s="1253"/>
      <c r="P234" s="1253"/>
      <c r="Q234" s="1253"/>
      <c r="R234" s="1253"/>
      <c r="S234" s="2402"/>
      <c r="T234" s="2403"/>
      <c r="U234" s="2403"/>
      <c r="V234" s="2403"/>
      <c r="W234" s="2403"/>
      <c r="X234" s="2403"/>
      <c r="Y234" s="2403"/>
      <c r="Z234" s="2403"/>
      <c r="AA234" s="2403"/>
      <c r="AB234" s="2403"/>
      <c r="AC234" s="2403"/>
      <c r="AD234" s="2403"/>
      <c r="AE234" s="2403"/>
      <c r="AF234" s="2403"/>
      <c r="AG234" s="2403"/>
      <c r="AH234" s="2403"/>
      <c r="AI234" s="2403"/>
      <c r="AJ234" s="2404"/>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91" t="s">
        <v>2217</v>
      </c>
      <c r="I236" s="2391"/>
      <c r="J236" s="2391"/>
      <c r="K236" s="1255"/>
      <c r="L236" s="1253"/>
      <c r="M236" s="1253"/>
      <c r="N236" s="1253"/>
      <c r="O236" s="1253"/>
      <c r="P236" s="1253"/>
      <c r="Q236" s="1253"/>
      <c r="R236" s="1253"/>
      <c r="S236" s="2392"/>
      <c r="T236" s="2393"/>
      <c r="U236" s="2393"/>
      <c r="V236" s="2393"/>
      <c r="W236" s="2393"/>
      <c r="X236" s="2393"/>
      <c r="Y236" s="2393"/>
      <c r="Z236" s="2393"/>
      <c r="AA236" s="2393"/>
      <c r="AB236" s="2393"/>
      <c r="AC236" s="2393"/>
      <c r="AD236" s="2393"/>
      <c r="AE236" s="2393"/>
      <c r="AF236" s="2393"/>
      <c r="AG236" s="2393"/>
      <c r="AH236" s="2393"/>
      <c r="AI236" s="2393"/>
      <c r="AJ236" s="2394"/>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91" t="s">
        <v>439</v>
      </c>
      <c r="I238" s="2391"/>
      <c r="J238" s="1255"/>
      <c r="K238" s="1255"/>
      <c r="L238" s="1253"/>
      <c r="M238" s="1253"/>
      <c r="N238" s="1253"/>
      <c r="O238" s="1253"/>
      <c r="P238" s="1253"/>
      <c r="Q238" s="1253"/>
      <c r="R238" s="1253"/>
      <c r="S238" s="2392"/>
      <c r="T238" s="2393"/>
      <c r="U238" s="2393"/>
      <c r="V238" s="2393"/>
      <c r="W238" s="2393"/>
      <c r="X238" s="2393"/>
      <c r="Y238" s="2393"/>
      <c r="Z238" s="2393"/>
      <c r="AA238" s="2393"/>
      <c r="AB238" s="2393"/>
      <c r="AC238" s="2393"/>
      <c r="AD238" s="2393"/>
      <c r="AE238" s="2393"/>
      <c r="AF238" s="2393"/>
      <c r="AG238" s="2393"/>
      <c r="AH238" s="2393"/>
      <c r="AI238" s="2393"/>
      <c r="AJ238" s="2394"/>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95" t="s">
        <v>2216</v>
      </c>
      <c r="I240" s="2395"/>
      <c r="J240" s="2395"/>
      <c r="K240" s="2395"/>
      <c r="L240" s="2395"/>
      <c r="M240" s="2395"/>
      <c r="N240" s="2395"/>
      <c r="O240" s="2395"/>
      <c r="P240" s="1253"/>
      <c r="Q240" s="1253"/>
      <c r="R240" s="1253"/>
      <c r="S240" s="2392"/>
      <c r="T240" s="2393"/>
      <c r="U240" s="2393"/>
      <c r="V240" s="2393"/>
      <c r="W240" s="2393"/>
      <c r="X240" s="2393"/>
      <c r="Y240" s="2393"/>
      <c r="Z240" s="2393"/>
      <c r="AA240" s="2393"/>
      <c r="AB240" s="2393"/>
      <c r="AC240" s="2393"/>
      <c r="AD240" s="2393"/>
      <c r="AE240" s="2393"/>
      <c r="AF240" s="2393"/>
      <c r="AG240" s="2393"/>
      <c r="AH240" s="2393"/>
      <c r="AI240" s="2393"/>
      <c r="AJ240" s="2394"/>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96" t="s">
        <v>2215</v>
      </c>
      <c r="I242" s="2396"/>
      <c r="J242" s="1253"/>
      <c r="K242" s="1253"/>
      <c r="L242" s="1253"/>
      <c r="M242" s="1253"/>
      <c r="N242" s="1253"/>
      <c r="O242" s="1253"/>
      <c r="P242" s="1253"/>
      <c r="Q242" s="1253"/>
      <c r="R242" s="1253"/>
      <c r="S242" s="2397"/>
      <c r="T242" s="2398"/>
      <c r="U242" s="2398"/>
      <c r="V242" s="2398"/>
      <c r="W242" s="2398"/>
      <c r="X242" s="2398"/>
      <c r="Y242" s="2398"/>
      <c r="Z242" s="2398"/>
      <c r="AA242" s="2398"/>
      <c r="AB242" s="2398"/>
      <c r="AC242" s="2398"/>
      <c r="AD242" s="2398"/>
      <c r="AE242" s="2398"/>
      <c r="AF242" s="2398"/>
      <c r="AG242" s="2398"/>
      <c r="AH242" s="2398"/>
      <c r="AI242" s="2398"/>
      <c r="AJ242" s="2399"/>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61" zoomScale="85" zoomScaleNormal="85" workbookViewId="0">
      <selection activeCell="AB50" sqref="AB50:AF50"/>
    </sheetView>
  </sheetViews>
  <sheetFormatPr defaultColWidth="0" defaultRowHeight="12.9" customHeight="1" zeroHeight="1"/>
  <cols>
    <col min="1" max="1" width="1.5546875" style="398" customWidth="1"/>
    <col min="2" max="2" width="0.88671875" style="398" customWidth="1"/>
    <col min="3" max="18" width="2.5546875" style="398" customWidth="1"/>
    <col min="19" max="19" width="6.33203125" style="398" customWidth="1"/>
    <col min="20" max="39" width="2.6640625" style="398" customWidth="1"/>
    <col min="40" max="40" width="1.5546875" style="398" customWidth="1"/>
    <col min="41" max="256" width="2.5546875" style="398" hidden="1"/>
    <col min="257" max="257" width="1.5546875" style="398" hidden="1" customWidth="1"/>
    <col min="258" max="258" width="0.8867187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8867187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8867187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8867187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8867187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8867187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8867187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8867187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8867187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8867187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8867187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8867187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8867187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8867187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8867187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8867187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8867187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8867187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8867187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8867187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8867187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8867187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8867187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8867187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8867187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8867187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8867187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8867187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8867187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8867187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8867187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8867187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8867187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8867187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8867187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8867187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8867187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8867187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8867187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8867187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8867187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8867187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8867187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8867187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8867187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8867187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8867187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8867187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8867187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8867187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8867187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8867187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8867187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8867187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8867187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8867187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8867187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8867187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8867187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8867187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8867187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8867187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8867187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2.9" customHeight="1">
      <c r="A1" s="1333" t="s">
        <v>1277</v>
      </c>
      <c r="B1" s="1333"/>
      <c r="C1" s="1333"/>
      <c r="D1" s="1333"/>
      <c r="E1" s="1333"/>
      <c r="F1" s="1333"/>
      <c r="G1" s="1333"/>
      <c r="H1" s="1333"/>
      <c r="I1" s="1333"/>
      <c r="J1" s="1333"/>
      <c r="K1" s="1333"/>
      <c r="L1" s="1333"/>
      <c r="M1" s="1333"/>
      <c r="N1" s="1333"/>
      <c r="O1" s="1333"/>
      <c r="P1" s="1333"/>
      <c r="Q1" s="1333"/>
      <c r="R1" s="1333"/>
      <c r="S1" s="1333"/>
      <c r="T1" s="1333"/>
      <c r="U1" s="1333"/>
      <c r="V1" s="1333"/>
      <c r="W1" s="1333"/>
      <c r="X1" s="1333"/>
      <c r="Y1" s="1333"/>
      <c r="Z1" s="1333"/>
      <c r="AA1" s="1333"/>
      <c r="AB1" s="1333"/>
      <c r="AC1" s="1333"/>
      <c r="AD1" s="1333"/>
      <c r="AE1" s="1333"/>
      <c r="AF1" s="1333"/>
      <c r="AG1" s="1333"/>
      <c r="AH1" s="1333"/>
      <c r="AI1" s="1333"/>
      <c r="AJ1" s="1333"/>
      <c r="AK1" s="1333"/>
      <c r="AL1" s="1333"/>
      <c r="AM1" s="1333"/>
      <c r="AN1" s="1333"/>
    </row>
    <row r="2" spans="1:40" ht="12.9" customHeight="1" thickBot="1">
      <c r="A2" s="1334"/>
      <c r="B2" s="1334"/>
      <c r="C2" s="1334"/>
      <c r="D2" s="1334"/>
      <c r="E2" s="1334"/>
      <c r="F2" s="1334"/>
      <c r="G2" s="1334"/>
      <c r="H2" s="1334"/>
      <c r="I2" s="1334"/>
      <c r="J2" s="1334"/>
      <c r="K2" s="1334"/>
      <c r="L2" s="1334"/>
      <c r="M2" s="1334"/>
      <c r="N2" s="1334"/>
      <c r="O2" s="1334"/>
      <c r="P2" s="1334"/>
      <c r="Q2" s="1334"/>
      <c r="R2" s="1334"/>
      <c r="S2" s="1334"/>
      <c r="T2" s="1334"/>
      <c r="U2" s="1334"/>
      <c r="V2" s="1334"/>
      <c r="W2" s="1334"/>
      <c r="X2" s="1334"/>
      <c r="Y2" s="1334"/>
      <c r="Z2" s="1334"/>
      <c r="AA2" s="1334"/>
      <c r="AB2" s="1334"/>
      <c r="AC2" s="1334"/>
      <c r="AD2" s="1334"/>
      <c r="AE2" s="1334"/>
      <c r="AF2" s="1334"/>
      <c r="AG2" s="1334"/>
      <c r="AH2" s="1334"/>
      <c r="AI2" s="1334"/>
      <c r="AJ2" s="1334"/>
      <c r="AK2" s="1334"/>
      <c r="AL2" s="1334"/>
      <c r="AM2" s="1334"/>
      <c r="AN2" s="1334"/>
    </row>
    <row r="3" spans="1:40" ht="12.9"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 customHeight="1">
      <c r="A4" s="400"/>
    </row>
    <row r="5" spans="1:40" ht="12.9" customHeight="1">
      <c r="A5" s="400" t="s">
        <v>319</v>
      </c>
      <c r="C5" s="400" t="s">
        <v>122</v>
      </c>
      <c r="F5" s="400"/>
    </row>
    <row r="6" spans="1:40" ht="12.9" customHeight="1">
      <c r="A6" s="400"/>
      <c r="C6" s="398" t="s">
        <v>1235</v>
      </c>
    </row>
    <row r="7" spans="1:40" ht="12.9" customHeight="1">
      <c r="B7" s="401"/>
      <c r="C7" s="402"/>
      <c r="D7" s="402"/>
      <c r="E7" s="402"/>
      <c r="F7" s="402"/>
      <c r="G7" s="402"/>
      <c r="H7" s="402"/>
      <c r="I7" s="402"/>
      <c r="J7" s="402"/>
      <c r="K7" s="402"/>
      <c r="L7" s="402"/>
      <c r="M7" s="402"/>
      <c r="N7" s="402"/>
      <c r="O7" s="402"/>
      <c r="P7" s="402"/>
      <c r="Q7" s="402"/>
      <c r="R7" s="402"/>
      <c r="S7" s="402"/>
      <c r="T7" s="1313" t="str">
        <f xml:space="preserve"> IF(T25=100%,'Sources and Basis Breakdown'!G2,'Sources and Basis Breakdown'!F2)</f>
        <v>30% PVC for New Const/
Rehabilitation
DDA/QCT
Building(s)</v>
      </c>
      <c r="U7" s="1313"/>
      <c r="V7" s="1313"/>
      <c r="W7" s="1313"/>
      <c r="X7" s="1313"/>
      <c r="Y7" s="1313" t="str">
        <f>IF(T25=100%,"",'Sources and Basis Breakdown'!G2)</f>
        <v>30% PVC for New Const/
Rehabilitation
NON-DDA/
NON-QCT Building(s)</v>
      </c>
      <c r="Z7" s="1313"/>
      <c r="AA7" s="1313"/>
      <c r="AB7" s="1313"/>
      <c r="AC7" s="1313"/>
      <c r="AD7" s="1313" t="str">
        <f xml:space="preserve"> IF(T25=100%, 'Sources and Basis Breakdown'!J2,'Sources and Basis Breakdown'!I2)</f>
        <v>30% PVC for Acquisition
DDA/QCT Building(s)</v>
      </c>
      <c r="AE7" s="1313"/>
      <c r="AF7" s="1313"/>
      <c r="AG7" s="1313"/>
      <c r="AH7" s="1313"/>
      <c r="AI7" s="1313" t="str">
        <f>IF(T25=100%,"",'Sources and Basis Breakdown'!J2)</f>
        <v>30% PVC for Acquisition
NON-DDA/
NON-QCT Building(s)</v>
      </c>
      <c r="AJ7" s="1313"/>
      <c r="AK7" s="1313"/>
      <c r="AL7" s="1313"/>
      <c r="AM7" s="1313"/>
    </row>
    <row r="8" spans="1:40" ht="12.9" customHeight="1">
      <c r="B8" s="403"/>
      <c r="T8" s="1313"/>
      <c r="U8" s="1313"/>
      <c r="V8" s="1313"/>
      <c r="W8" s="1313"/>
      <c r="X8" s="1313"/>
      <c r="Y8" s="1313"/>
      <c r="Z8" s="1313"/>
      <c r="AA8" s="1313"/>
      <c r="AB8" s="1313"/>
      <c r="AC8" s="1313"/>
      <c r="AD8" s="1313"/>
      <c r="AE8" s="1313"/>
      <c r="AF8" s="1313"/>
      <c r="AG8" s="1313"/>
      <c r="AH8" s="1313"/>
      <c r="AI8" s="1313"/>
      <c r="AJ8" s="1313"/>
      <c r="AK8" s="1313"/>
      <c r="AL8" s="1313"/>
      <c r="AM8" s="1313"/>
    </row>
    <row r="9" spans="1:40" ht="12.9" customHeight="1">
      <c r="B9" s="403"/>
      <c r="T9" s="1313"/>
      <c r="U9" s="1313"/>
      <c r="V9" s="1313"/>
      <c r="W9" s="1313"/>
      <c r="X9" s="1313"/>
      <c r="Y9" s="1313"/>
      <c r="Z9" s="1313"/>
      <c r="AA9" s="1313"/>
      <c r="AB9" s="1313"/>
      <c r="AC9" s="1313"/>
      <c r="AD9" s="1313"/>
      <c r="AE9" s="1313"/>
      <c r="AF9" s="1313"/>
      <c r="AG9" s="1313"/>
      <c r="AH9" s="1313"/>
      <c r="AI9" s="1313"/>
      <c r="AJ9" s="1313"/>
      <c r="AK9" s="1313"/>
      <c r="AL9" s="1313"/>
      <c r="AM9" s="1313"/>
    </row>
    <row r="10" spans="1:40" ht="12.9" customHeight="1">
      <c r="B10" s="404"/>
      <c r="C10" s="405"/>
      <c r="D10" s="405"/>
      <c r="E10" s="405"/>
      <c r="F10" s="405"/>
      <c r="G10" s="405"/>
      <c r="H10" s="405"/>
      <c r="I10" s="405"/>
      <c r="J10" s="405"/>
      <c r="K10" s="405"/>
      <c r="L10" s="405"/>
      <c r="M10" s="405"/>
      <c r="N10" s="405"/>
      <c r="O10" s="405"/>
      <c r="P10" s="405"/>
      <c r="Q10" s="405"/>
      <c r="R10" s="405"/>
      <c r="S10" s="405"/>
      <c r="T10" s="1313"/>
      <c r="U10" s="1313"/>
      <c r="V10" s="1313"/>
      <c r="W10" s="1313"/>
      <c r="X10" s="1313"/>
      <c r="Y10" s="1313"/>
      <c r="Z10" s="1313"/>
      <c r="AA10" s="1313"/>
      <c r="AB10" s="1313"/>
      <c r="AC10" s="1313"/>
      <c r="AD10" s="1313"/>
      <c r="AE10" s="1313"/>
      <c r="AF10" s="1313"/>
      <c r="AG10" s="1313"/>
      <c r="AH10" s="1313"/>
      <c r="AI10" s="1313"/>
      <c r="AJ10" s="1313"/>
      <c r="AK10" s="1313"/>
      <c r="AL10" s="1313"/>
      <c r="AM10" s="1313"/>
    </row>
    <row r="11" spans="1:40" ht="12.9" customHeight="1">
      <c r="B11" s="1299" t="s">
        <v>374</v>
      </c>
      <c r="C11" s="1300"/>
      <c r="D11" s="1300"/>
      <c r="E11" s="1300"/>
      <c r="F11" s="1300"/>
      <c r="G11" s="1300"/>
      <c r="H11" s="1300"/>
      <c r="I11" s="1300"/>
      <c r="J11" s="1300"/>
      <c r="K11" s="1300"/>
      <c r="L11" s="1300"/>
      <c r="M11" s="1300"/>
      <c r="N11" s="1300"/>
      <c r="O11" s="1300"/>
      <c r="P11" s="1300"/>
      <c r="Q11" s="1300"/>
      <c r="R11" s="1300"/>
      <c r="S11" s="1301"/>
      <c r="T11" s="1335">
        <f>IF('Sources and Basis Breakdown'!F107=0,'Sources and Basis Breakdown'!E107,'Sources and Basis Breakdown'!F107)</f>
        <v>76831626</v>
      </c>
      <c r="U11" s="1336"/>
      <c r="V11" s="1336"/>
      <c r="W11" s="1336"/>
      <c r="X11" s="1336"/>
      <c r="Y11" s="1335">
        <f>IF(Y7="",0,IF('Sources and Basis Breakdown'!G107+'Sources and Basis Breakdown'!F107='Sources and Basis Breakdown'!E107,'Sources and Basis Breakdown'!G107,0))</f>
        <v>0</v>
      </c>
      <c r="Z11" s="1336"/>
      <c r="AA11" s="1336"/>
      <c r="AB11" s="1336"/>
      <c r="AC11" s="1336"/>
      <c r="AD11" s="1336">
        <f>IF('Sources and Basis Breakdown'!I107=0,'Sources and Basis Breakdown'!H107,'Sources and Basis Breakdown'!I107)</f>
        <v>0</v>
      </c>
      <c r="AE11" s="1336"/>
      <c r="AF11" s="1336"/>
      <c r="AG11" s="1336"/>
      <c r="AH11" s="1336"/>
      <c r="AI11" s="1336">
        <f>IF(Y7="",0,IF('Sources and Basis Breakdown'!I107+'Sources and Basis Breakdown'!J107='Sources and Basis Breakdown'!H107,'Sources and Basis Breakdown'!J107,0))</f>
        <v>0</v>
      </c>
      <c r="AJ11" s="1336"/>
      <c r="AK11" s="1336"/>
      <c r="AL11" s="1336"/>
      <c r="AM11" s="1336"/>
    </row>
    <row r="12" spans="1:40" ht="12.9" customHeight="1">
      <c r="B12" s="1339" t="s">
        <v>495</v>
      </c>
      <c r="C12" s="1340"/>
      <c r="D12" s="1340"/>
      <c r="E12" s="1340"/>
      <c r="F12" s="1340"/>
      <c r="G12" s="1340"/>
      <c r="H12" s="1340"/>
      <c r="I12" s="1340"/>
      <c r="J12" s="1340"/>
      <c r="K12" s="1340"/>
      <c r="L12" s="1340"/>
      <c r="M12" s="1340"/>
      <c r="N12" s="1340"/>
      <c r="O12" s="1340"/>
      <c r="P12" s="1340"/>
      <c r="Q12" s="1340"/>
      <c r="R12" s="1340"/>
      <c r="S12" s="1341"/>
      <c r="T12" s="1328"/>
      <c r="U12" s="1329"/>
      <c r="V12" s="1329"/>
      <c r="W12" s="1329"/>
      <c r="X12" s="1330"/>
      <c r="Y12" s="1328"/>
      <c r="Z12" s="1329"/>
      <c r="AA12" s="1329"/>
      <c r="AB12" s="1329"/>
      <c r="AC12" s="1330"/>
      <c r="AD12" s="1328"/>
      <c r="AE12" s="1329"/>
      <c r="AF12" s="1329"/>
      <c r="AG12" s="1329"/>
      <c r="AH12" s="1330"/>
      <c r="AI12" s="1328"/>
      <c r="AJ12" s="1329"/>
      <c r="AK12" s="1329"/>
      <c r="AL12" s="1329"/>
      <c r="AM12" s="1330"/>
    </row>
    <row r="13" spans="1:40" ht="12.9" customHeight="1">
      <c r="B13" s="431"/>
      <c r="C13" s="1342" t="s">
        <v>496</v>
      </c>
      <c r="D13" s="1342"/>
      <c r="E13" s="1342"/>
      <c r="F13" s="1342"/>
      <c r="G13" s="1342"/>
      <c r="H13" s="1342"/>
      <c r="I13" s="1342"/>
      <c r="J13" s="1342"/>
      <c r="K13" s="1342"/>
      <c r="L13" s="1342"/>
      <c r="M13" s="1342"/>
      <c r="N13" s="1342"/>
      <c r="O13" s="1342"/>
      <c r="P13" s="1342"/>
      <c r="Q13" s="1342"/>
      <c r="R13" s="1342"/>
      <c r="S13" s="1343"/>
      <c r="T13" s="1331"/>
      <c r="U13" s="1332"/>
      <c r="V13" s="1332"/>
      <c r="W13" s="1332"/>
      <c r="X13" s="1332"/>
      <c r="Y13" s="1331"/>
      <c r="Z13" s="1332"/>
      <c r="AA13" s="1332"/>
      <c r="AB13" s="1332"/>
      <c r="AC13" s="1332"/>
      <c r="AD13" s="1332"/>
      <c r="AE13" s="1332"/>
      <c r="AF13" s="1332"/>
      <c r="AG13" s="1332"/>
      <c r="AH13" s="1332"/>
      <c r="AI13" s="1332"/>
      <c r="AJ13" s="1332"/>
      <c r="AK13" s="1332"/>
      <c r="AL13" s="1332"/>
      <c r="AM13" s="1332"/>
    </row>
    <row r="14" spans="1:40" ht="12.9" customHeight="1">
      <c r="B14" s="431"/>
      <c r="C14" s="1342" t="s">
        <v>497</v>
      </c>
      <c r="D14" s="1342"/>
      <c r="E14" s="1342"/>
      <c r="F14" s="1342"/>
      <c r="G14" s="1342"/>
      <c r="H14" s="1342"/>
      <c r="I14" s="1342"/>
      <c r="J14" s="1342"/>
      <c r="K14" s="1342"/>
      <c r="L14" s="1342"/>
      <c r="M14" s="1342"/>
      <c r="N14" s="1342"/>
      <c r="O14" s="1342"/>
      <c r="P14" s="1342"/>
      <c r="Q14" s="1342"/>
      <c r="R14" s="1342"/>
      <c r="S14" s="1343"/>
      <c r="T14" s="1321"/>
      <c r="U14" s="1322"/>
      <c r="V14" s="1322"/>
      <c r="W14" s="1322"/>
      <c r="X14" s="1322"/>
      <c r="Y14" s="1321"/>
      <c r="Z14" s="1322"/>
      <c r="AA14" s="1322"/>
      <c r="AB14" s="1322"/>
      <c r="AC14" s="1322"/>
      <c r="AD14" s="1322"/>
      <c r="AE14" s="1322"/>
      <c r="AF14" s="1322"/>
      <c r="AG14" s="1322"/>
      <c r="AH14" s="1322"/>
      <c r="AI14" s="1322"/>
      <c r="AJ14" s="1322"/>
      <c r="AK14" s="1322"/>
      <c r="AL14" s="1322"/>
      <c r="AM14" s="1322"/>
    </row>
    <row r="15" spans="1:40" ht="12.9" customHeight="1">
      <c r="B15" s="431"/>
      <c r="C15" s="1342" t="s">
        <v>498</v>
      </c>
      <c r="D15" s="1342"/>
      <c r="E15" s="1342"/>
      <c r="F15" s="1342"/>
      <c r="G15" s="1342"/>
      <c r="H15" s="1342"/>
      <c r="I15" s="1342"/>
      <c r="J15" s="1342"/>
      <c r="K15" s="1342"/>
      <c r="L15" s="1342"/>
      <c r="M15" s="1342"/>
      <c r="N15" s="1342"/>
      <c r="O15" s="1342"/>
      <c r="P15" s="1342"/>
      <c r="Q15" s="1342"/>
      <c r="R15" s="1342"/>
      <c r="S15" s="1343"/>
      <c r="T15" s="1321"/>
      <c r="U15" s="1322"/>
      <c r="V15" s="1322"/>
      <c r="W15" s="1322"/>
      <c r="X15" s="1322"/>
      <c r="Y15" s="1321"/>
      <c r="Z15" s="1322"/>
      <c r="AA15" s="1322"/>
      <c r="AB15" s="1322"/>
      <c r="AC15" s="1322"/>
      <c r="AD15" s="1322"/>
      <c r="AE15" s="1322"/>
      <c r="AF15" s="1322"/>
      <c r="AG15" s="1322"/>
      <c r="AH15" s="1322"/>
      <c r="AI15" s="1322"/>
      <c r="AJ15" s="1322"/>
      <c r="AK15" s="1322"/>
      <c r="AL15" s="1322"/>
      <c r="AM15" s="1322"/>
    </row>
    <row r="16" spans="1:40" ht="12.9" customHeight="1">
      <c r="B16" s="431"/>
      <c r="C16" s="1342" t="s">
        <v>803</v>
      </c>
      <c r="D16" s="1342"/>
      <c r="E16" s="1342"/>
      <c r="F16" s="1342"/>
      <c r="G16" s="1342"/>
      <c r="H16" s="1342"/>
      <c r="I16" s="1342"/>
      <c r="J16" s="1342"/>
      <c r="K16" s="1342"/>
      <c r="L16" s="1342"/>
      <c r="M16" s="1342"/>
      <c r="N16" s="1342"/>
      <c r="O16" s="1342"/>
      <c r="P16" s="1342"/>
      <c r="Q16" s="1342"/>
      <c r="R16" s="1342"/>
      <c r="S16" s="1343"/>
      <c r="T16" s="1321"/>
      <c r="U16" s="1322"/>
      <c r="V16" s="1322"/>
      <c r="W16" s="1322"/>
      <c r="X16" s="1322"/>
      <c r="Y16" s="1321"/>
      <c r="Z16" s="1322"/>
      <c r="AA16" s="1322"/>
      <c r="AB16" s="1322"/>
      <c r="AC16" s="1322"/>
      <c r="AD16" s="1322"/>
      <c r="AE16" s="1322"/>
      <c r="AF16" s="1322"/>
      <c r="AG16" s="1322"/>
      <c r="AH16" s="1322"/>
      <c r="AI16" s="1322"/>
      <c r="AJ16" s="1322"/>
      <c r="AK16" s="1322"/>
      <c r="AL16" s="1322"/>
      <c r="AM16" s="1322"/>
    </row>
    <row r="17" spans="1:40" ht="12.9" customHeight="1">
      <c r="B17" s="431"/>
      <c r="C17" s="1342" t="s">
        <v>499</v>
      </c>
      <c r="D17" s="1342"/>
      <c r="E17" s="1342"/>
      <c r="F17" s="1342"/>
      <c r="G17" s="1342"/>
      <c r="H17" s="1342"/>
      <c r="I17" s="1342"/>
      <c r="J17" s="1342"/>
      <c r="K17" s="1342"/>
      <c r="L17" s="1342"/>
      <c r="M17" s="1342"/>
      <c r="N17" s="1342"/>
      <c r="O17" s="1342"/>
      <c r="P17" s="1342"/>
      <c r="Q17" s="1342"/>
      <c r="R17" s="1342"/>
      <c r="S17" s="1343"/>
      <c r="T17" s="1321"/>
      <c r="U17" s="1322"/>
      <c r="V17" s="1322"/>
      <c r="W17" s="1322"/>
      <c r="X17" s="1322"/>
      <c r="Y17" s="1321"/>
      <c r="Z17" s="1322"/>
      <c r="AA17" s="1322"/>
      <c r="AB17" s="1322"/>
      <c r="AC17" s="1322"/>
      <c r="AD17" s="1322"/>
      <c r="AE17" s="1322"/>
      <c r="AF17" s="1322"/>
      <c r="AG17" s="1322"/>
      <c r="AH17" s="1322"/>
      <c r="AI17" s="1322"/>
      <c r="AJ17" s="1322"/>
      <c r="AK17" s="1322"/>
      <c r="AL17" s="1322"/>
      <c r="AM17" s="1322"/>
    </row>
    <row r="18" spans="1:40" ht="12.9" customHeight="1">
      <c r="A18"/>
      <c r="B18" s="1139"/>
      <c r="C18" s="1337" t="s">
        <v>958</v>
      </c>
      <c r="D18" s="1337"/>
      <c r="E18" s="1337"/>
      <c r="F18" s="1337"/>
      <c r="G18" s="1337"/>
      <c r="H18" s="1337"/>
      <c r="I18" s="1337"/>
      <c r="J18" s="1337"/>
      <c r="K18" s="1337"/>
      <c r="L18" s="1337"/>
      <c r="M18" s="1337"/>
      <c r="N18" s="1337"/>
      <c r="O18" s="1337"/>
      <c r="P18" s="1337"/>
      <c r="Q18" s="1337"/>
      <c r="R18" s="1337"/>
      <c r="S18" s="1338"/>
      <c r="T18" s="1321"/>
      <c r="U18" s="1322"/>
      <c r="V18" s="1322"/>
      <c r="W18" s="1322"/>
      <c r="X18" s="1322"/>
      <c r="Y18" s="1321"/>
      <c r="Z18" s="1322"/>
      <c r="AA18" s="1322"/>
      <c r="AB18" s="1322"/>
      <c r="AC18" s="1322"/>
      <c r="AD18" s="1322"/>
      <c r="AE18" s="1322"/>
      <c r="AF18" s="1322"/>
      <c r="AG18" s="1322"/>
      <c r="AH18" s="1322"/>
      <c r="AI18" s="1322"/>
      <c r="AJ18" s="1322"/>
      <c r="AK18" s="1322"/>
      <c r="AL18" s="1322"/>
      <c r="AM18" s="1322"/>
    </row>
    <row r="19" spans="1:40" ht="12.9" customHeight="1">
      <c r="B19" s="1139"/>
      <c r="C19" s="1337" t="s">
        <v>958</v>
      </c>
      <c r="D19" s="1337"/>
      <c r="E19" s="1337"/>
      <c r="F19" s="1337"/>
      <c r="G19" s="1337"/>
      <c r="H19" s="1337"/>
      <c r="I19" s="1337"/>
      <c r="J19" s="1337"/>
      <c r="K19" s="1337"/>
      <c r="L19" s="1337"/>
      <c r="M19" s="1337"/>
      <c r="N19" s="1337"/>
      <c r="O19" s="1337"/>
      <c r="P19" s="1337"/>
      <c r="Q19" s="1337"/>
      <c r="R19" s="1337"/>
      <c r="S19" s="1338"/>
      <c r="T19" s="1321"/>
      <c r="U19" s="1322"/>
      <c r="V19" s="1322"/>
      <c r="W19" s="1322"/>
      <c r="X19" s="1322"/>
      <c r="Y19" s="1321"/>
      <c r="Z19" s="1322"/>
      <c r="AA19" s="1322"/>
      <c r="AB19" s="1322"/>
      <c r="AC19" s="1322"/>
      <c r="AD19" s="1322"/>
      <c r="AE19" s="1322"/>
      <c r="AF19" s="1322"/>
      <c r="AG19" s="1322"/>
      <c r="AH19" s="1322"/>
      <c r="AI19" s="1322"/>
      <c r="AJ19" s="1322"/>
      <c r="AK19" s="1322"/>
      <c r="AL19" s="1322"/>
      <c r="AM19" s="1322"/>
    </row>
    <row r="20" spans="1:40" ht="12.9" customHeight="1">
      <c r="B20" s="1299" t="s">
        <v>500</v>
      </c>
      <c r="C20" s="1300"/>
      <c r="D20" s="1300"/>
      <c r="E20" s="1300"/>
      <c r="F20" s="1300"/>
      <c r="G20" s="1300"/>
      <c r="H20" s="1300"/>
      <c r="I20" s="1300"/>
      <c r="J20" s="1300"/>
      <c r="K20" s="1300"/>
      <c r="L20" s="1300"/>
      <c r="M20" s="1300"/>
      <c r="N20" s="1300"/>
      <c r="O20" s="1300"/>
      <c r="P20" s="1300"/>
      <c r="Q20" s="1300"/>
      <c r="R20" s="1300"/>
      <c r="S20" s="1301"/>
      <c r="T20" s="1312">
        <f>SUM(T13:X19)</f>
        <v>0</v>
      </c>
      <c r="U20" s="1293"/>
      <c r="V20" s="1293"/>
      <c r="W20" s="1293"/>
      <c r="X20" s="1293"/>
      <c r="Y20" s="1312">
        <f>SUM(Y13:AC19)</f>
        <v>0</v>
      </c>
      <c r="Z20" s="1293"/>
      <c r="AA20" s="1293"/>
      <c r="AB20" s="1293"/>
      <c r="AC20" s="1293"/>
      <c r="AD20" s="1303">
        <f>SUM(AD13:AH19)</f>
        <v>0</v>
      </c>
      <c r="AE20" s="1311"/>
      <c r="AF20" s="1311"/>
      <c r="AG20" s="1311"/>
      <c r="AH20" s="1312"/>
      <c r="AI20" s="1303">
        <f>SUM(AI13:AM19)</f>
        <v>0</v>
      </c>
      <c r="AJ20" s="1311"/>
      <c r="AK20" s="1311"/>
      <c r="AL20" s="1311"/>
      <c r="AM20" s="1312"/>
    </row>
    <row r="21" spans="1:40" ht="12.9" customHeight="1">
      <c r="B21" s="1299" t="s">
        <v>1260</v>
      </c>
      <c r="C21" s="1300"/>
      <c r="D21" s="1300"/>
      <c r="E21" s="1300"/>
      <c r="F21" s="1300"/>
      <c r="G21" s="1300"/>
      <c r="H21" s="1300"/>
      <c r="I21" s="1300"/>
      <c r="J21" s="1300"/>
      <c r="K21" s="1300"/>
      <c r="L21" s="1300"/>
      <c r="M21" s="1300"/>
      <c r="N21" s="1300"/>
      <c r="O21" s="1300"/>
      <c r="P21" s="1300"/>
      <c r="Q21" s="1300"/>
      <c r="R21" s="1300"/>
      <c r="S21" s="1301"/>
      <c r="T21" s="1321"/>
      <c r="U21" s="1322"/>
      <c r="V21" s="1322"/>
      <c r="W21" s="1322"/>
      <c r="X21" s="1322"/>
      <c r="Y21" s="1321"/>
      <c r="Z21" s="1322"/>
      <c r="AA21" s="1322"/>
      <c r="AB21" s="1322"/>
      <c r="AC21" s="1322"/>
      <c r="AD21" s="1328"/>
      <c r="AE21" s="1329"/>
      <c r="AF21" s="1329"/>
      <c r="AG21" s="1329"/>
      <c r="AH21" s="1330"/>
      <c r="AI21" s="1328"/>
      <c r="AJ21" s="1329"/>
      <c r="AK21" s="1329"/>
      <c r="AL21" s="1329"/>
      <c r="AM21" s="1330"/>
    </row>
    <row r="22" spans="1:40" ht="12.9" customHeight="1">
      <c r="B22" s="1299" t="s">
        <v>501</v>
      </c>
      <c r="C22" s="1300"/>
      <c r="D22" s="1300"/>
      <c r="E22" s="1300"/>
      <c r="F22" s="1300"/>
      <c r="G22" s="1300"/>
      <c r="H22" s="1300"/>
      <c r="I22" s="1300"/>
      <c r="J22" s="1300"/>
      <c r="K22" s="1300"/>
      <c r="L22" s="1300"/>
      <c r="M22" s="1300"/>
      <c r="N22" s="1300"/>
      <c r="O22" s="1300"/>
      <c r="P22" s="1300"/>
      <c r="Q22" s="1300"/>
      <c r="R22" s="1300"/>
      <c r="S22" s="1301"/>
      <c r="T22" s="1317">
        <f>(ABS(T20)+ABS(T21))*-1</f>
        <v>0</v>
      </c>
      <c r="U22" s="1318"/>
      <c r="V22" s="1318"/>
      <c r="W22" s="1318"/>
      <c r="X22" s="1318"/>
      <c r="Y22" s="1317">
        <f>(Y20+Y21)*-1</f>
        <v>0</v>
      </c>
      <c r="Z22" s="1318"/>
      <c r="AA22" s="1318"/>
      <c r="AB22" s="1318"/>
      <c r="AC22" s="1318"/>
      <c r="AD22" s="1319">
        <f>(AD20)*-1</f>
        <v>0</v>
      </c>
      <c r="AE22" s="1320"/>
      <c r="AF22" s="1320"/>
      <c r="AG22" s="1320"/>
      <c r="AH22" s="1317"/>
      <c r="AI22" s="1319">
        <f>(AI20)*-1</f>
        <v>0</v>
      </c>
      <c r="AJ22" s="1320"/>
      <c r="AK22" s="1320"/>
      <c r="AL22" s="1320"/>
      <c r="AM22" s="1317"/>
    </row>
    <row r="23" spans="1:40" ht="12.9" customHeight="1">
      <c r="B23" s="1299" t="s">
        <v>502</v>
      </c>
      <c r="C23" s="1300"/>
      <c r="D23" s="1300"/>
      <c r="E23" s="1300"/>
      <c r="F23" s="1300"/>
      <c r="G23" s="1300"/>
      <c r="H23" s="1300"/>
      <c r="I23" s="1300"/>
      <c r="J23" s="1300"/>
      <c r="K23" s="1300"/>
      <c r="L23" s="1300"/>
      <c r="M23" s="1300"/>
      <c r="N23" s="1300"/>
      <c r="O23" s="1300"/>
      <c r="P23" s="1300"/>
      <c r="Q23" s="1300"/>
      <c r="R23" s="1300"/>
      <c r="S23" s="1301"/>
      <c r="T23" s="1312">
        <f>T11+T22</f>
        <v>76831626</v>
      </c>
      <c r="U23" s="1293"/>
      <c r="V23" s="1293"/>
      <c r="W23" s="1293"/>
      <c r="X23" s="1293"/>
      <c r="Y23" s="1312">
        <f>Y11+Y22</f>
        <v>0</v>
      </c>
      <c r="Z23" s="1293"/>
      <c r="AA23" s="1293"/>
      <c r="AB23" s="1293"/>
      <c r="AC23" s="1293"/>
      <c r="AD23" s="1312">
        <f>AD11+AD22</f>
        <v>0</v>
      </c>
      <c r="AE23" s="1293"/>
      <c r="AF23" s="1293"/>
      <c r="AG23" s="1293"/>
      <c r="AH23" s="1293"/>
      <c r="AI23" s="1312">
        <f>AI11+AI22</f>
        <v>0</v>
      </c>
      <c r="AJ23" s="1293"/>
      <c r="AK23" s="1293"/>
      <c r="AL23" s="1293"/>
      <c r="AM23" s="1293"/>
    </row>
    <row r="24" spans="1:40" ht="12.9" customHeight="1">
      <c r="B24" s="1299" t="s">
        <v>959</v>
      </c>
      <c r="C24" s="1300"/>
      <c r="D24" s="1300"/>
      <c r="E24" s="1300"/>
      <c r="F24" s="1300"/>
      <c r="G24" s="1300"/>
      <c r="H24" s="1300"/>
      <c r="I24" s="1300"/>
      <c r="J24" s="1300"/>
      <c r="K24" s="1300"/>
      <c r="L24" s="1300"/>
      <c r="M24" s="1300"/>
      <c r="N24" s="1300"/>
      <c r="O24" s="1300"/>
      <c r="P24" s="1300"/>
      <c r="Q24" s="1300"/>
      <c r="R24" s="1300"/>
      <c r="S24" s="1301"/>
      <c r="T24" s="1303">
        <f>Application!AJ1062</f>
        <v>154708095</v>
      </c>
      <c r="U24" s="1311"/>
      <c r="V24" s="1311"/>
      <c r="W24" s="1311"/>
      <c r="X24" s="1311"/>
      <c r="Y24" s="1311"/>
      <c r="Z24" s="1311"/>
      <c r="AA24" s="1311"/>
      <c r="AB24" s="1311"/>
      <c r="AC24" s="1311"/>
      <c r="AD24" s="1311"/>
      <c r="AE24" s="1311"/>
      <c r="AF24" s="1311"/>
      <c r="AG24" s="1311"/>
      <c r="AH24" s="1311"/>
      <c r="AI24" s="1311"/>
      <c r="AJ24" s="1311"/>
      <c r="AK24" s="1311"/>
      <c r="AL24" s="1311"/>
      <c r="AM24" s="1312"/>
    </row>
    <row r="25" spans="1:40" ht="12.9" customHeight="1">
      <c r="B25" s="1346" t="s">
        <v>1261</v>
      </c>
      <c r="C25" s="1347"/>
      <c r="D25" s="1347"/>
      <c r="E25" s="1347"/>
      <c r="F25" s="1347"/>
      <c r="G25" s="1347"/>
      <c r="H25" s="1347"/>
      <c r="I25" s="1347"/>
      <c r="J25" s="1347"/>
      <c r="K25" s="1347"/>
      <c r="L25" s="1347"/>
      <c r="M25" s="1347"/>
      <c r="N25" s="1347"/>
      <c r="O25" s="1347"/>
      <c r="P25" s="1347"/>
      <c r="Q25" s="1347"/>
      <c r="R25" s="1347"/>
      <c r="S25" s="1348"/>
      <c r="T25" s="1325">
        <f>IF(OR(Application!T196="yes",Application!T195="yes"),1.3,1)</f>
        <v>1.3</v>
      </c>
      <c r="U25" s="1326"/>
      <c r="V25" s="1326"/>
      <c r="W25" s="1326"/>
      <c r="X25" s="1326"/>
      <c r="Y25" s="1325">
        <v>1</v>
      </c>
      <c r="Z25" s="1326"/>
      <c r="AA25" s="1326"/>
      <c r="AB25" s="1326"/>
      <c r="AC25" s="1326"/>
      <c r="AD25" s="1325">
        <v>1</v>
      </c>
      <c r="AE25" s="1326"/>
      <c r="AF25" s="1326"/>
      <c r="AG25" s="1326"/>
      <c r="AH25" s="1327"/>
      <c r="AI25" s="1325">
        <v>1</v>
      </c>
      <c r="AJ25" s="1326"/>
      <c r="AK25" s="1326"/>
      <c r="AL25" s="1326"/>
      <c r="AM25" s="1327"/>
    </row>
    <row r="26" spans="1:40" ht="12.9" customHeight="1">
      <c r="B26" s="1299" t="s">
        <v>503</v>
      </c>
      <c r="C26" s="1300"/>
      <c r="D26" s="1300"/>
      <c r="E26" s="1300"/>
      <c r="F26" s="1300"/>
      <c r="G26" s="1300"/>
      <c r="H26" s="1300"/>
      <c r="I26" s="1300"/>
      <c r="J26" s="1300"/>
      <c r="K26" s="1300"/>
      <c r="L26" s="1300"/>
      <c r="M26" s="1300"/>
      <c r="N26" s="1300"/>
      <c r="O26" s="1300"/>
      <c r="P26" s="1300"/>
      <c r="Q26" s="1300"/>
      <c r="R26" s="1300"/>
      <c r="S26" s="1301"/>
      <c r="T26" s="1312">
        <f>T23*T25</f>
        <v>99881113.799999997</v>
      </c>
      <c r="U26" s="1293"/>
      <c r="V26" s="1293"/>
      <c r="W26" s="1293"/>
      <c r="X26" s="1293"/>
      <c r="Y26" s="1312">
        <f>Y23*Y25</f>
        <v>0</v>
      </c>
      <c r="Z26" s="1293"/>
      <c r="AA26" s="1293"/>
      <c r="AB26" s="1293"/>
      <c r="AC26" s="1293"/>
      <c r="AD26" s="1312">
        <f>AD23*AD25</f>
        <v>0</v>
      </c>
      <c r="AE26" s="1293"/>
      <c r="AF26" s="1293"/>
      <c r="AG26" s="1293"/>
      <c r="AH26" s="1293"/>
      <c r="AI26" s="1312">
        <f>AI23*AI25</f>
        <v>0</v>
      </c>
      <c r="AJ26" s="1293"/>
      <c r="AK26" s="1293"/>
      <c r="AL26" s="1293"/>
      <c r="AM26" s="1293"/>
    </row>
    <row r="27" spans="1:40" ht="12.9" customHeight="1">
      <c r="A27" s="406"/>
      <c r="B27" s="1349" t="s">
        <v>425</v>
      </c>
      <c r="C27" s="1350"/>
      <c r="D27" s="1350"/>
      <c r="E27" s="1350"/>
      <c r="F27" s="1350"/>
      <c r="G27" s="1350"/>
      <c r="H27" s="1350"/>
      <c r="I27" s="1350"/>
      <c r="J27" s="1350"/>
      <c r="K27" s="1350"/>
      <c r="L27" s="1350"/>
      <c r="M27" s="1350"/>
      <c r="N27" s="1350"/>
      <c r="O27" s="1350"/>
      <c r="P27" s="1350"/>
      <c r="Q27" s="1350"/>
      <c r="R27" s="1350"/>
      <c r="S27" s="1351"/>
      <c r="T27" s="1323">
        <f>Application!$AG$454</f>
        <v>1</v>
      </c>
      <c r="U27" s="1324"/>
      <c r="V27" s="1324"/>
      <c r="W27" s="1324"/>
      <c r="X27" s="1324"/>
      <c r="Y27" s="1323">
        <f>Application!$AG$454</f>
        <v>1</v>
      </c>
      <c r="Z27" s="1324"/>
      <c r="AA27" s="1324"/>
      <c r="AB27" s="1324"/>
      <c r="AC27" s="1324"/>
      <c r="AD27" s="1323">
        <f>Application!$AG$454</f>
        <v>1</v>
      </c>
      <c r="AE27" s="1324"/>
      <c r="AF27" s="1324"/>
      <c r="AG27" s="1324"/>
      <c r="AH27" s="1324"/>
      <c r="AI27" s="1323">
        <f>Application!$AG$454</f>
        <v>1</v>
      </c>
      <c r="AJ27" s="1324"/>
      <c r="AK27" s="1324"/>
      <c r="AL27" s="1324"/>
      <c r="AM27" s="1324"/>
    </row>
    <row r="28" spans="1:40" ht="12.9" customHeight="1">
      <c r="A28" s="400"/>
      <c r="B28" s="1299" t="s">
        <v>504</v>
      </c>
      <c r="C28" s="1300"/>
      <c r="D28" s="1300"/>
      <c r="E28" s="1300"/>
      <c r="F28" s="1300"/>
      <c r="G28" s="1300"/>
      <c r="H28" s="1300"/>
      <c r="I28" s="1300"/>
      <c r="J28" s="1300"/>
      <c r="K28" s="1300"/>
      <c r="L28" s="1300"/>
      <c r="M28" s="1300"/>
      <c r="N28" s="1300"/>
      <c r="O28" s="1300"/>
      <c r="P28" s="1300"/>
      <c r="Q28" s="1300"/>
      <c r="R28" s="1300"/>
      <c r="S28" s="1301"/>
      <c r="T28" s="1312">
        <f>IF(ISERROR((T26*T27)),0,(T26*T27))</f>
        <v>99881113.799999997</v>
      </c>
      <c r="U28" s="1293"/>
      <c r="V28" s="1293"/>
      <c r="W28" s="1293"/>
      <c r="X28" s="1293"/>
      <c r="Y28" s="1312">
        <f>IF(ISERROR((Y26*Y27)),0,(Y26*Y27))</f>
        <v>0</v>
      </c>
      <c r="Z28" s="1293"/>
      <c r="AA28" s="1293"/>
      <c r="AB28" s="1293"/>
      <c r="AC28" s="1293"/>
      <c r="AD28" s="1312">
        <f>IF(ISERROR((AD26*AD27)),0,(AD26*AD27))</f>
        <v>0</v>
      </c>
      <c r="AE28" s="1293"/>
      <c r="AF28" s="1293"/>
      <c r="AG28" s="1293"/>
      <c r="AH28" s="1293"/>
      <c r="AI28" s="1312">
        <f>IF(ISERROR((AI26*AI27)),0,(AI26*AI27))</f>
        <v>0</v>
      </c>
      <c r="AJ28" s="1293"/>
      <c r="AK28" s="1293"/>
      <c r="AL28" s="1293"/>
      <c r="AM28" s="1293"/>
    </row>
    <row r="29" spans="1:40" ht="12.9" customHeight="1">
      <c r="B29" s="1299" t="s">
        <v>521</v>
      </c>
      <c r="C29" s="1300"/>
      <c r="D29" s="1300"/>
      <c r="E29" s="1300"/>
      <c r="F29" s="1300"/>
      <c r="G29" s="1300"/>
      <c r="H29" s="1300"/>
      <c r="I29" s="1300"/>
      <c r="J29" s="1300"/>
      <c r="K29" s="1300"/>
      <c r="L29" s="1300"/>
      <c r="M29" s="1300"/>
      <c r="N29" s="1300"/>
      <c r="O29" s="1300"/>
      <c r="P29" s="1300"/>
      <c r="Q29" s="1300"/>
      <c r="R29" s="1300"/>
      <c r="S29" s="1301"/>
      <c r="T29" s="1303">
        <f>T28+Y28+AD28+AI28</f>
        <v>99881113.799999997</v>
      </c>
      <c r="U29" s="1311"/>
      <c r="V29" s="1311"/>
      <c r="W29" s="1311"/>
      <c r="X29" s="1311"/>
      <c r="Y29" s="1311"/>
      <c r="Z29" s="1311"/>
      <c r="AA29" s="1311"/>
      <c r="AB29" s="1311"/>
      <c r="AC29" s="1311"/>
      <c r="AD29" s="1311"/>
      <c r="AE29" s="1311"/>
      <c r="AF29" s="1311"/>
      <c r="AG29" s="1311"/>
      <c r="AH29" s="1311"/>
      <c r="AI29" s="1311"/>
      <c r="AJ29" s="1311"/>
      <c r="AK29" s="1311"/>
      <c r="AL29" s="1311"/>
      <c r="AM29" s="1312"/>
    </row>
    <row r="30" spans="1:40" ht="12.9" customHeight="1">
      <c r="B30" s="1316" t="s">
        <v>1263</v>
      </c>
      <c r="C30" s="1316"/>
      <c r="D30" s="1316"/>
      <c r="E30" s="1316"/>
      <c r="F30" s="1316"/>
      <c r="G30" s="1316"/>
      <c r="H30" s="1316"/>
      <c r="I30" s="1316"/>
      <c r="J30" s="1316"/>
      <c r="K30" s="1316"/>
      <c r="L30" s="1316"/>
      <c r="M30" s="1316"/>
      <c r="N30" s="1316"/>
      <c r="O30" s="1316"/>
      <c r="P30" s="1316"/>
      <c r="Q30" s="1316"/>
      <c r="R30" s="1316"/>
      <c r="S30" s="1316"/>
      <c r="T30" s="1316"/>
      <c r="U30" s="1316"/>
      <c r="V30" s="1316"/>
      <c r="W30" s="1316"/>
      <c r="X30" s="1316"/>
      <c r="Y30" s="1316"/>
      <c r="Z30" s="1316"/>
      <c r="AA30" s="1316"/>
      <c r="AB30" s="1316"/>
      <c r="AC30" s="1316"/>
      <c r="AD30" s="1316"/>
      <c r="AE30" s="1316"/>
      <c r="AF30" s="1316"/>
      <c r="AG30" s="1316"/>
      <c r="AH30" s="1316"/>
      <c r="AI30" s="1316"/>
      <c r="AJ30" s="1316"/>
      <c r="AK30" s="1316"/>
      <c r="AL30" s="1316"/>
      <c r="AM30" s="1316"/>
    </row>
    <row r="31" spans="1:40" ht="12.9" customHeight="1">
      <c r="B31" s="1316" t="s">
        <v>1262</v>
      </c>
      <c r="C31" s="1316"/>
      <c r="D31" s="1316"/>
      <c r="E31" s="1316"/>
      <c r="F31" s="1316"/>
      <c r="G31" s="1316"/>
      <c r="H31" s="1316"/>
      <c r="I31" s="1316"/>
      <c r="J31" s="1316"/>
      <c r="K31" s="1316"/>
      <c r="L31" s="1316"/>
      <c r="M31" s="1316"/>
      <c r="N31" s="1316"/>
      <c r="O31" s="1316"/>
      <c r="P31" s="1316"/>
      <c r="Q31" s="1316"/>
      <c r="R31" s="1316"/>
      <c r="S31" s="1316"/>
      <c r="T31" s="1316"/>
      <c r="U31" s="1316"/>
      <c r="V31" s="1316"/>
      <c r="W31" s="1316"/>
      <c r="X31" s="1316"/>
      <c r="Y31" s="1316"/>
      <c r="Z31" s="1316"/>
      <c r="AA31" s="1316"/>
      <c r="AB31" s="1316"/>
      <c r="AC31" s="1316"/>
      <c r="AD31" s="1316"/>
      <c r="AE31" s="1316"/>
      <c r="AF31" s="1316"/>
      <c r="AG31" s="1316"/>
      <c r="AH31" s="1316"/>
      <c r="AI31" s="1316"/>
      <c r="AJ31" s="1316"/>
      <c r="AK31" s="1316"/>
      <c r="AL31" s="1316"/>
      <c r="AM31" s="1316"/>
      <c r="AN31" s="514"/>
    </row>
    <row r="32" spans="1:40" ht="12.9"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 customHeight="1"/>
    <row r="34" spans="1:76" ht="12.9" customHeight="1">
      <c r="A34" s="400" t="s">
        <v>574</v>
      </c>
      <c r="C34" s="400" t="s">
        <v>566</v>
      </c>
    </row>
    <row r="35" spans="1:76" ht="12.9"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1313" t="s">
        <v>1151</v>
      </c>
      <c r="Z35" s="1313"/>
      <c r="AA35" s="1313"/>
      <c r="AB35" s="1313"/>
      <c r="AC35" s="1313"/>
      <c r="AD35" s="1314" t="s">
        <v>369</v>
      </c>
      <c r="AE35" s="1314"/>
      <c r="AF35" s="1314"/>
      <c r="AG35" s="1314"/>
      <c r="AH35" s="1314"/>
    </row>
    <row r="36" spans="1:76" ht="12.9" customHeight="1">
      <c r="B36" s="403"/>
      <c r="X36" s="408"/>
      <c r="Y36" s="1313"/>
      <c r="Z36" s="1313"/>
      <c r="AA36" s="1313"/>
      <c r="AB36" s="1313"/>
      <c r="AC36" s="1313"/>
      <c r="AD36" s="1314"/>
      <c r="AE36" s="1314"/>
      <c r="AF36" s="1314"/>
      <c r="AG36" s="1314"/>
      <c r="AH36" s="1314"/>
    </row>
    <row r="37" spans="1:76" ht="12.9"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1313"/>
      <c r="Z37" s="1313"/>
      <c r="AA37" s="1313"/>
      <c r="AB37" s="1313"/>
      <c r="AC37" s="1313"/>
      <c r="AD37" s="1314"/>
      <c r="AE37" s="1314"/>
      <c r="AF37" s="1314"/>
      <c r="AG37" s="1314"/>
      <c r="AH37" s="1314"/>
    </row>
    <row r="38" spans="1:76" ht="12.9" customHeight="1">
      <c r="A38" s="400"/>
      <c r="B38" s="1299" t="s">
        <v>504</v>
      </c>
      <c r="C38" s="1300"/>
      <c r="D38" s="1300"/>
      <c r="E38" s="1300"/>
      <c r="F38" s="1300"/>
      <c r="G38" s="1300"/>
      <c r="H38" s="1300"/>
      <c r="I38" s="1300"/>
      <c r="J38" s="1300"/>
      <c r="K38" s="1300"/>
      <c r="L38" s="1300"/>
      <c r="M38" s="1300"/>
      <c r="N38" s="1300"/>
      <c r="O38" s="1300"/>
      <c r="P38" s="1300"/>
      <c r="Q38" s="1300"/>
      <c r="R38" s="1300"/>
      <c r="S38" s="1300"/>
      <c r="T38" s="1300"/>
      <c r="U38" s="1300"/>
      <c r="V38" s="1300"/>
      <c r="W38" s="1300"/>
      <c r="X38" s="1301"/>
      <c r="Y38" s="1293">
        <f>IF(T24&gt;=(T23+Y23+AD23+AI23),T28+Y28,0)</f>
        <v>99881113.799999997</v>
      </c>
      <c r="Z38" s="1293"/>
      <c r="AA38" s="1293"/>
      <c r="AB38" s="1293"/>
      <c r="AC38" s="1293"/>
      <c r="AD38" s="1293">
        <f>IF(T24&gt;=(T23+Y23+AD23+AI23),AD28+AI28,0)</f>
        <v>0</v>
      </c>
      <c r="AE38" s="1293"/>
      <c r="AF38" s="1293"/>
      <c r="AG38" s="1293"/>
      <c r="AH38" s="1293"/>
    </row>
    <row r="39" spans="1:76" ht="12.9" customHeight="1">
      <c r="B39" s="1299" t="s">
        <v>1677</v>
      </c>
      <c r="C39" s="1300"/>
      <c r="D39" s="1300"/>
      <c r="E39" s="1300"/>
      <c r="F39" s="1300"/>
      <c r="G39" s="1300"/>
      <c r="H39" s="1300"/>
      <c r="I39" s="1300"/>
      <c r="J39" s="1300"/>
      <c r="K39" s="1300"/>
      <c r="L39" s="1300"/>
      <c r="M39" s="1300"/>
      <c r="N39" s="1300"/>
      <c r="O39" s="1300"/>
      <c r="P39" s="1300"/>
      <c r="Q39" s="1300"/>
      <c r="R39" s="1300"/>
      <c r="S39" s="1300"/>
      <c r="T39" s="1300"/>
      <c r="U39" s="1300"/>
      <c r="V39" s="1300"/>
      <c r="W39" s="1300"/>
      <c r="X39" s="1301"/>
      <c r="Y39" s="1315">
        <v>0.04</v>
      </c>
      <c r="Z39" s="1315"/>
      <c r="AA39" s="1315"/>
      <c r="AB39" s="1315"/>
      <c r="AC39" s="1315"/>
      <c r="AD39" s="1315">
        <v>0.04</v>
      </c>
      <c r="AE39" s="1315"/>
      <c r="AF39" s="1315"/>
      <c r="AG39" s="1315"/>
      <c r="AH39" s="1315"/>
    </row>
    <row r="40" spans="1:76" ht="12.9" customHeight="1">
      <c r="A40" s="400"/>
      <c r="B40" s="1299" t="s">
        <v>640</v>
      </c>
      <c r="C40" s="1300"/>
      <c r="D40" s="1300"/>
      <c r="E40" s="1300"/>
      <c r="F40" s="1300"/>
      <c r="G40" s="1300"/>
      <c r="H40" s="1300"/>
      <c r="I40" s="1300"/>
      <c r="J40" s="1300"/>
      <c r="K40" s="1300"/>
      <c r="L40" s="1300"/>
      <c r="M40" s="1300"/>
      <c r="N40" s="1300"/>
      <c r="O40" s="1300"/>
      <c r="P40" s="1300"/>
      <c r="Q40" s="1300"/>
      <c r="R40" s="1300"/>
      <c r="S40" s="1300"/>
      <c r="T40" s="1300"/>
      <c r="U40" s="1300"/>
      <c r="V40" s="1300"/>
      <c r="W40" s="1300"/>
      <c r="X40" s="1301"/>
      <c r="Y40" s="1293">
        <f>ROUND(Y38*Y39,0)</f>
        <v>3995245</v>
      </c>
      <c r="Z40" s="1293"/>
      <c r="AA40" s="1293"/>
      <c r="AB40" s="1293"/>
      <c r="AC40" s="1293"/>
      <c r="AD40" s="1312">
        <f>ROUND(AD38*AD39,0)</f>
        <v>0</v>
      </c>
      <c r="AE40" s="1293"/>
      <c r="AF40" s="1293"/>
      <c r="AG40" s="1293"/>
      <c r="AH40" s="1293"/>
    </row>
    <row r="41" spans="1:76" ht="12.9" customHeight="1">
      <c r="B41" s="1299" t="s">
        <v>641</v>
      </c>
      <c r="C41" s="1300"/>
      <c r="D41" s="1300"/>
      <c r="E41" s="1300"/>
      <c r="F41" s="1300"/>
      <c r="G41" s="1300"/>
      <c r="H41" s="1300"/>
      <c r="I41" s="1300"/>
      <c r="J41" s="1300"/>
      <c r="K41" s="1300"/>
      <c r="L41" s="1300"/>
      <c r="M41" s="1300"/>
      <c r="N41" s="1300"/>
      <c r="O41" s="1300"/>
      <c r="P41" s="1300"/>
      <c r="Q41" s="1300"/>
      <c r="R41" s="1300"/>
      <c r="S41" s="1300"/>
      <c r="T41" s="1300"/>
      <c r="U41" s="1300"/>
      <c r="V41" s="1300"/>
      <c r="W41" s="1300"/>
      <c r="X41" s="1301"/>
      <c r="Y41" s="1303">
        <f>Y40+AD40</f>
        <v>3995245</v>
      </c>
      <c r="Z41" s="1311"/>
      <c r="AA41" s="1311"/>
      <c r="AB41" s="1311"/>
      <c r="AC41" s="1311"/>
      <c r="AD41" s="1311"/>
      <c r="AE41" s="1311"/>
      <c r="AF41" s="1311"/>
      <c r="AG41" s="1311"/>
      <c r="AH41" s="1312"/>
    </row>
    <row r="42" spans="1:76" ht="12.9"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 customHeight="1" thickBot="1">
      <c r="A44" s="1310" t="s">
        <v>1273</v>
      </c>
      <c r="B44" s="1310"/>
      <c r="C44" s="1310"/>
      <c r="D44" s="1310"/>
      <c r="E44" s="1310"/>
      <c r="F44" s="1310"/>
      <c r="G44" s="1310"/>
      <c r="H44" s="1310"/>
      <c r="I44" s="1310"/>
      <c r="J44" s="1310"/>
      <c r="K44" s="1310"/>
      <c r="L44" s="1310"/>
      <c r="M44" s="1310"/>
      <c r="N44" s="1310"/>
      <c r="O44" s="1310"/>
      <c r="P44" s="1310"/>
      <c r="Q44" s="1310"/>
      <c r="R44" s="1310"/>
      <c r="S44" s="1310"/>
      <c r="T44" s="1310"/>
      <c r="U44" s="1310"/>
      <c r="V44" s="1310"/>
      <c r="W44" s="1310"/>
      <c r="X44" s="1310"/>
      <c r="Y44" s="1310"/>
      <c r="Z44" s="1310"/>
      <c r="AA44" s="1310"/>
      <c r="AB44" s="1310"/>
      <c r="AC44" s="1310"/>
      <c r="AD44" s="1310"/>
      <c r="AE44" s="1310"/>
      <c r="AF44" s="1310"/>
      <c r="AG44" s="1310"/>
      <c r="AH44" s="1310"/>
      <c r="AI44" s="1310"/>
      <c r="AJ44" s="1310"/>
      <c r="AK44" s="1310"/>
      <c r="AL44" s="1310"/>
      <c r="AM44" s="1310"/>
      <c r="AN44" s="1310"/>
      <c r="AO44" s="1310"/>
      <c r="AP44" s="1310"/>
      <c r="AQ44" s="1310"/>
      <c r="AR44" s="1310"/>
      <c r="AS44" s="1310"/>
      <c r="AT44" s="1310"/>
      <c r="AU44" s="1310"/>
      <c r="AV44" s="1310"/>
      <c r="AW44" s="1310"/>
      <c r="AX44" s="1310"/>
      <c r="AY44" s="1310"/>
      <c r="AZ44" s="1310"/>
      <c r="BA44" s="1310"/>
      <c r="BB44" s="1310"/>
      <c r="BC44" s="1310"/>
      <c r="BD44" s="1310"/>
      <c r="BE44" s="1310"/>
      <c r="BF44" s="1310"/>
      <c r="BG44" s="1310"/>
      <c r="BH44" s="1310"/>
      <c r="BI44" s="1310"/>
      <c r="BJ44" s="1310"/>
      <c r="BK44" s="1310"/>
      <c r="BL44" s="1310"/>
      <c r="BM44" s="1310"/>
      <c r="BN44" s="1310"/>
      <c r="BO44" s="1310"/>
      <c r="BP44" s="1310"/>
      <c r="BQ44" s="1310"/>
      <c r="BR44" s="1310"/>
      <c r="BS44" s="1310"/>
      <c r="BT44" s="1310"/>
      <c r="BU44" s="1310"/>
      <c r="BV44" s="1310"/>
      <c r="BW44" s="1310"/>
      <c r="BX44" s="1310"/>
    </row>
    <row r="45" spans="1:76" s="204" customFormat="1" ht="12.9" customHeight="1" thickTop="1"/>
    <row r="46" spans="1:76" ht="12.9" customHeight="1">
      <c r="A46" s="400" t="s">
        <v>584</v>
      </c>
      <c r="C46" s="400" t="s">
        <v>282</v>
      </c>
    </row>
    <row r="47" spans="1:76" ht="12.9" customHeight="1">
      <c r="D47" s="400" t="s">
        <v>283</v>
      </c>
      <c r="AB47" s="1307">
        <f>'Sources and Uses Budget'!B105-MAX(IF('Sources and Uses Budget'!B15="",0,'Sources and Uses Budget'!B15),IF(Application!AG403="",0,Application!AG403))</f>
        <v>79917904</v>
      </c>
      <c r="AC47" s="1308"/>
      <c r="AD47" s="1308"/>
      <c r="AE47" s="1308"/>
      <c r="AF47" s="1309"/>
    </row>
    <row r="48" spans="1:76" ht="12.9" customHeight="1">
      <c r="D48" s="400" t="s">
        <v>21</v>
      </c>
      <c r="AB48" s="1307">
        <f>Application!AO647-MAX(IF('Sources and Uses Budget'!B15="",0,'Sources and Uses Budget'!B15),IF(Application!AG403="",0,Application!AG403))</f>
        <v>47160174</v>
      </c>
      <c r="AC48" s="1308"/>
      <c r="AD48" s="1308"/>
      <c r="AE48" s="1308"/>
      <c r="AF48" s="1309"/>
    </row>
    <row r="49" spans="1:76" ht="12.9" customHeight="1">
      <c r="D49" s="400" t="s">
        <v>91</v>
      </c>
      <c r="AB49" s="1307">
        <f>AB47-AB48</f>
        <v>32757730</v>
      </c>
      <c r="AC49" s="1308"/>
      <c r="AD49" s="1308"/>
      <c r="AE49" s="1308"/>
      <c r="AF49" s="1309"/>
    </row>
    <row r="50" spans="1:76" ht="12.9" customHeight="1">
      <c r="D50" s="400" t="s">
        <v>679</v>
      </c>
      <c r="AA50" s="411"/>
      <c r="AB50" s="1295">
        <v>0.81991792743624003</v>
      </c>
      <c r="AC50" s="1296"/>
      <c r="AD50" s="1296"/>
      <c r="AE50" s="1296"/>
      <c r="AF50" s="1297"/>
    </row>
    <row r="51" spans="1:76" s="413" customFormat="1" ht="12.9" customHeight="1">
      <c r="A51" s="398"/>
      <c r="B51" s="398"/>
      <c r="C51" s="398"/>
      <c r="D51" s="398"/>
      <c r="E51" s="1306" t="s">
        <v>2525</v>
      </c>
      <c r="F51" s="1306"/>
      <c r="G51" s="1306"/>
      <c r="H51" s="1306"/>
      <c r="I51" s="1306"/>
      <c r="J51" s="1306"/>
      <c r="K51" s="1306"/>
      <c r="L51" s="1306"/>
      <c r="M51" s="1306"/>
      <c r="N51" s="1306"/>
      <c r="O51" s="1306"/>
      <c r="P51" s="1306"/>
      <c r="Q51" s="1306"/>
      <c r="R51" s="1306"/>
      <c r="S51" s="1306"/>
      <c r="T51" s="1306"/>
      <c r="U51" s="1306"/>
      <c r="V51" s="1306"/>
      <c r="W51" s="1306"/>
      <c r="X51" s="1306"/>
      <c r="Y51" s="1306"/>
      <c r="Z51" s="1306"/>
      <c r="AA51" s="412"/>
      <c r="AB51" s="412"/>
      <c r="AC51" s="412"/>
      <c r="AD51" s="412"/>
      <c r="AE51" s="412"/>
      <c r="AF51" s="412"/>
      <c r="AG51" s="398"/>
      <c r="AH51" s="398"/>
      <c r="AI51" s="398"/>
      <c r="AJ51" s="398"/>
      <c r="AK51" s="398"/>
      <c r="AL51" s="398"/>
      <c r="AM51" s="398"/>
      <c r="AN51" s="398"/>
    </row>
    <row r="52" spans="1:76" s="413" customFormat="1" ht="12.9" customHeight="1">
      <c r="A52" s="398"/>
      <c r="B52" s="398"/>
      <c r="C52" s="398"/>
      <c r="D52" s="398"/>
      <c r="E52" s="1306"/>
      <c r="F52" s="1306"/>
      <c r="G52" s="1306"/>
      <c r="H52" s="1306"/>
      <c r="I52" s="1306"/>
      <c r="J52" s="1306"/>
      <c r="K52" s="1306"/>
      <c r="L52" s="1306"/>
      <c r="M52" s="1306"/>
      <c r="N52" s="1306"/>
      <c r="O52" s="1306"/>
      <c r="P52" s="1306"/>
      <c r="Q52" s="1306"/>
      <c r="R52" s="1306"/>
      <c r="S52" s="1306"/>
      <c r="T52" s="1306"/>
      <c r="U52" s="1306"/>
      <c r="V52" s="1306"/>
      <c r="W52" s="1306"/>
      <c r="X52" s="1306"/>
      <c r="Y52" s="1306"/>
      <c r="Z52" s="1306"/>
      <c r="AA52" s="414"/>
      <c r="AB52" s="414"/>
      <c r="AC52" s="414"/>
      <c r="AD52" s="414"/>
      <c r="AE52" s="414"/>
      <c r="AF52" s="414"/>
      <c r="AG52" s="415"/>
      <c r="AH52" s="398"/>
      <c r="AI52" s="398"/>
      <c r="AJ52" s="398"/>
      <c r="AK52" s="398"/>
      <c r="AL52" s="398"/>
      <c r="AM52" s="398"/>
      <c r="AN52" s="398"/>
    </row>
    <row r="53" spans="1:76" ht="12.9"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 customHeight="1">
      <c r="D54" s="400" t="s">
        <v>332</v>
      </c>
      <c r="AB54" s="1307">
        <f>ROUND(IF(ISERROR((AB49/AB50)),0,(AB49/AB50)),0)</f>
        <v>39952450</v>
      </c>
      <c r="AC54" s="1308"/>
      <c r="AD54" s="1308"/>
      <c r="AE54" s="1308"/>
      <c r="AF54" s="1309"/>
    </row>
    <row r="55" spans="1:76" ht="12.9" customHeight="1">
      <c r="D55" s="400" t="s">
        <v>333</v>
      </c>
      <c r="AB55" s="1307">
        <f>(AB54/10)</f>
        <v>3995245</v>
      </c>
      <c r="AC55" s="1308"/>
      <c r="AD55" s="1308"/>
      <c r="AE55" s="1308"/>
      <c r="AF55" s="1309"/>
    </row>
    <row r="56" spans="1:76" ht="12.9" customHeight="1">
      <c r="D56" s="400" t="s">
        <v>754</v>
      </c>
      <c r="AB56" s="1307">
        <f>ROUND((IF((Y41&lt;AB55),Y41,AB55)),0)</f>
        <v>3995245</v>
      </c>
      <c r="AC56" s="1308"/>
      <c r="AD56" s="1308"/>
      <c r="AE56" s="1308"/>
      <c r="AF56" s="1309"/>
    </row>
    <row r="57" spans="1:76" ht="12.9" customHeight="1">
      <c r="D57" s="400" t="s">
        <v>753</v>
      </c>
      <c r="AB57" s="1307">
        <f>ROUND((10*AB56*AB50),0)</f>
        <v>32757730</v>
      </c>
      <c r="AC57" s="1308"/>
      <c r="AD57" s="1308"/>
      <c r="AE57" s="1308"/>
      <c r="AF57" s="1309"/>
    </row>
    <row r="58" spans="1:76" ht="12.9" customHeight="1">
      <c r="D58" s="400"/>
      <c r="AB58" s="419"/>
      <c r="AC58" s="419"/>
      <c r="AD58" s="419"/>
      <c r="AE58" s="419"/>
      <c r="AF58" s="419"/>
    </row>
    <row r="59" spans="1:76" ht="12.9" customHeight="1">
      <c r="D59" s="400" t="s">
        <v>752</v>
      </c>
      <c r="AB59" s="1291">
        <f>AB49-AB57</f>
        <v>0</v>
      </c>
      <c r="AC59" s="1291"/>
      <c r="AD59" s="1291"/>
      <c r="AE59" s="1291"/>
      <c r="AF59" s="1291"/>
    </row>
    <row r="60" spans="1:76" ht="12.9" customHeight="1">
      <c r="D60" s="400"/>
      <c r="AB60" s="419"/>
      <c r="AC60" s="419"/>
      <c r="AD60" s="419"/>
      <c r="AE60" s="419"/>
      <c r="AF60" s="419"/>
    </row>
    <row r="61" spans="1:76" s="204" customFormat="1" ht="12.9" customHeight="1" thickBot="1">
      <c r="A61" s="1310" t="str">
        <f>IF(Application!AP205="yes","Farmworker State Credit", "State Credit" )</f>
        <v>State Credit</v>
      </c>
      <c r="B61" s="1310"/>
      <c r="C61" s="1310"/>
      <c r="D61" s="1310"/>
      <c r="E61" s="1310"/>
      <c r="F61" s="1310"/>
      <c r="G61" s="1310"/>
      <c r="H61" s="1310"/>
      <c r="I61" s="1310"/>
      <c r="J61" s="1310"/>
      <c r="K61" s="1310"/>
      <c r="L61" s="1310"/>
      <c r="M61" s="1310"/>
      <c r="N61" s="1310"/>
      <c r="O61" s="1310"/>
      <c r="P61" s="1310"/>
      <c r="Q61" s="1310"/>
      <c r="R61" s="1310"/>
      <c r="S61" s="1310"/>
      <c r="T61" s="1310"/>
      <c r="U61" s="1310"/>
      <c r="V61" s="1310"/>
      <c r="W61" s="1310"/>
      <c r="X61" s="1310"/>
      <c r="Y61" s="1310"/>
      <c r="Z61" s="1310"/>
      <c r="AA61" s="1310"/>
      <c r="AB61" s="1310"/>
      <c r="AC61" s="1310"/>
      <c r="AD61" s="1310"/>
      <c r="AE61" s="1310"/>
      <c r="AF61" s="1310"/>
      <c r="AG61" s="1310"/>
      <c r="AH61" s="1310"/>
      <c r="AI61" s="1310"/>
      <c r="AJ61" s="1310"/>
      <c r="AK61" s="1310"/>
      <c r="AL61" s="1310"/>
      <c r="AM61" s="1310"/>
      <c r="AN61" s="1310"/>
      <c r="AO61" s="1310"/>
      <c r="AP61" s="1310"/>
      <c r="AQ61" s="1310"/>
      <c r="AR61" s="1310"/>
      <c r="AS61" s="1310"/>
      <c r="AT61" s="1310"/>
      <c r="AU61" s="1310"/>
      <c r="AV61" s="1310"/>
      <c r="AW61" s="1310"/>
      <c r="AX61" s="1310"/>
      <c r="AY61" s="1310"/>
      <c r="AZ61" s="1310"/>
      <c r="BA61" s="1310"/>
      <c r="BB61" s="1310"/>
      <c r="BC61" s="1310"/>
      <c r="BD61" s="1310"/>
      <c r="BE61" s="1310"/>
      <c r="BF61" s="1310"/>
      <c r="BG61" s="1310"/>
      <c r="BH61" s="1310"/>
      <c r="BI61" s="1310"/>
      <c r="BJ61" s="1310"/>
      <c r="BK61" s="1310"/>
      <c r="BL61" s="1310"/>
      <c r="BM61" s="1310"/>
      <c r="BN61" s="1310"/>
      <c r="BO61" s="1310"/>
      <c r="BP61" s="1310"/>
      <c r="BQ61" s="1310"/>
      <c r="BR61" s="1310"/>
      <c r="BS61" s="1310"/>
      <c r="BT61" s="1310"/>
      <c r="BU61" s="1310"/>
      <c r="BV61" s="1310"/>
      <c r="BW61" s="1310"/>
      <c r="BX61" s="1310"/>
    </row>
    <row r="62" spans="1:76" s="204" customFormat="1" ht="12.9" customHeight="1" thickTop="1"/>
    <row r="63" spans="1:76" ht="12.9" customHeight="1">
      <c r="A63" s="400" t="s">
        <v>587</v>
      </c>
      <c r="C63" s="205" t="s">
        <v>1245</v>
      </c>
      <c r="Y63" s="1302" t="s">
        <v>982</v>
      </c>
      <c r="Z63" s="1302"/>
      <c r="AA63" s="1302"/>
      <c r="AB63" s="1302"/>
      <c r="AC63" s="1302"/>
      <c r="AD63" s="1302" t="s">
        <v>369</v>
      </c>
      <c r="AE63" s="1302"/>
      <c r="AF63" s="1302"/>
      <c r="AG63" s="1302"/>
      <c r="AH63" s="1302"/>
    </row>
    <row r="64" spans="1:76" ht="12.9"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1303">
        <f>IF(Application!$Z$205="(select)",0,((T23*T27)+Y28))</f>
        <v>76831626</v>
      </c>
      <c r="Z64" s="1304"/>
      <c r="AA64" s="1304"/>
      <c r="AB64" s="1304"/>
      <c r="AC64" s="1305"/>
      <c r="AD64" s="1303">
        <f>IF(AND(OR(Application!D211="At-Risk",Application!D211="At-Risk and Special Needs"),Application!M367="yes"),AD28+AI28,0)</f>
        <v>0</v>
      </c>
      <c r="AE64" s="1304"/>
      <c r="AF64" s="1304"/>
      <c r="AG64" s="1304"/>
      <c r="AH64" s="1305"/>
    </row>
    <row r="65" spans="1:37" ht="12.9"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1292">
        <f>IF(OR(Application!Z205="State Farmworker Credit",Application!Z205="$500M (Farmworker Housing)"),0.75,IF(Application!Z205="15% set-aside",0.13,IF(Application!Z205="15% set-aside with qualifying low value rehab",0.95,IF(Application!Z205="$500M",0.3,0))))</f>
        <v>0.3</v>
      </c>
      <c r="Z67" s="1292"/>
      <c r="AA67" s="1292"/>
      <c r="AB67" s="1292"/>
      <c r="AC67" s="1292"/>
      <c r="AD67" s="1292">
        <f>IF(Application!Z205="15% set-aside with qualifying low value rehab", 0.95,IF(OR(Application!D211="At-Risk",'Points System'!B26="Yes"),0.13,0))</f>
        <v>0</v>
      </c>
      <c r="AE67" s="1292"/>
      <c r="AF67" s="1292"/>
      <c r="AG67" s="1292"/>
      <c r="AH67" s="1292"/>
    </row>
    <row r="68" spans="1:37" ht="12.9" customHeight="1">
      <c r="C68" s="400"/>
      <c r="D68" s="205" t="s">
        <v>2171</v>
      </c>
      <c r="Y68" s="1293">
        <f>IF(AND(T25=1.3,OR(Y67=0.13,Y67=0.95),NOT(Application!T212&gt;=50%)),0,ROUND(Y64*Y67,0))</f>
        <v>23049488</v>
      </c>
      <c r="Z68" s="1294"/>
      <c r="AA68" s="1294"/>
      <c r="AB68" s="1294"/>
      <c r="AC68" s="1294"/>
      <c r="AD68" s="1293">
        <f>IF(AND(T25=1.3,AD67&gt;0,NOT(Application!T212&gt;=50%)),0,ROUND(AD64*AD67,0))</f>
        <v>0</v>
      </c>
      <c r="AE68" s="1294"/>
      <c r="AF68" s="1294"/>
      <c r="AG68" s="1294"/>
      <c r="AH68" s="1294"/>
      <c r="AK68" s="1187"/>
    </row>
    <row r="69" spans="1:37" ht="12.9" customHeight="1">
      <c r="C69" s="400"/>
      <c r="D69" s="205" t="s">
        <v>2172</v>
      </c>
      <c r="Y69" s="1293">
        <f>IF(OR(Application!Z205="State Farmworker Credit",Application!Z205="$500M (Farmworker Housing)"),Y68+AD68,MIN(Y68+AD68,200000*(Application!G761+Application!O785)))</f>
        <v>22600000</v>
      </c>
      <c r="Z69" s="1293"/>
      <c r="AA69" s="1293"/>
      <c r="AB69" s="1293"/>
      <c r="AC69" s="1293"/>
      <c r="AD69" s="1293"/>
      <c r="AE69" s="1293"/>
      <c r="AF69" s="1293"/>
      <c r="AG69" s="1293"/>
      <c r="AH69" s="1293"/>
    </row>
    <row r="70" spans="1:37" ht="12.9" customHeight="1">
      <c r="C70" s="400"/>
      <c r="E70" s="400"/>
      <c r="AB70" s="418"/>
      <c r="AC70" s="418"/>
      <c r="AD70" s="418"/>
      <c r="AE70" s="418"/>
      <c r="AF70" s="418"/>
    </row>
    <row r="71" spans="1:37" ht="12.9" customHeight="1">
      <c r="A71" s="400" t="s">
        <v>588</v>
      </c>
      <c r="C71" s="205" t="s">
        <v>284</v>
      </c>
    </row>
    <row r="72" spans="1:37" ht="12.9" customHeight="1">
      <c r="A72" s="400"/>
      <c r="C72" s="400"/>
      <c r="D72" s="205" t="s">
        <v>1247</v>
      </c>
      <c r="AB72" s="1295"/>
      <c r="AC72" s="1296"/>
      <c r="AD72" s="1296"/>
      <c r="AE72" s="1296"/>
      <c r="AF72" s="1297"/>
    </row>
    <row r="73" spans="1:37" ht="12.9" customHeight="1">
      <c r="A73" s="400"/>
      <c r="C73" s="400"/>
      <c r="D73" s="400"/>
      <c r="E73" s="1298" t="s">
        <v>1248</v>
      </c>
      <c r="F73" s="1298"/>
      <c r="G73" s="1298"/>
      <c r="H73" s="1298"/>
      <c r="I73" s="1298"/>
      <c r="J73" s="1298"/>
      <c r="K73" s="1298"/>
      <c r="L73" s="1298"/>
      <c r="M73" s="1298"/>
      <c r="N73" s="1298"/>
      <c r="O73" s="1298"/>
      <c r="P73" s="1298"/>
      <c r="Q73" s="1298"/>
      <c r="R73" s="1298"/>
      <c r="S73" s="1298"/>
      <c r="T73" s="1298"/>
      <c r="U73" s="1298"/>
      <c r="V73" s="1298"/>
      <c r="W73" s="1298"/>
      <c r="X73" s="1298"/>
      <c r="Y73" s="1298"/>
      <c r="Z73" s="1298"/>
      <c r="AA73" s="1298"/>
      <c r="AB73" s="434"/>
      <c r="AC73" s="434"/>
    </row>
    <row r="74" spans="1:37" ht="12.9" customHeight="1">
      <c r="A74" s="400"/>
      <c r="C74" s="400"/>
      <c r="D74" s="400"/>
      <c r="E74" s="1298"/>
      <c r="F74" s="1298"/>
      <c r="G74" s="1298"/>
      <c r="H74" s="1298"/>
      <c r="I74" s="1298"/>
      <c r="J74" s="1298"/>
      <c r="K74" s="1298"/>
      <c r="L74" s="1298"/>
      <c r="M74" s="1298"/>
      <c r="N74" s="1298"/>
      <c r="O74" s="1298"/>
      <c r="P74" s="1298"/>
      <c r="Q74" s="1298"/>
      <c r="R74" s="1298"/>
      <c r="S74" s="1298"/>
      <c r="T74" s="1298"/>
      <c r="U74" s="1298"/>
      <c r="V74" s="1298"/>
      <c r="W74" s="1298"/>
      <c r="X74" s="1298"/>
      <c r="Y74" s="1298"/>
      <c r="Z74" s="1298"/>
      <c r="AA74" s="1298"/>
      <c r="AB74" s="434"/>
      <c r="AC74" s="434"/>
    </row>
    <row r="75" spans="1:37" ht="12.9" customHeight="1">
      <c r="A75" s="400"/>
      <c r="C75" s="400"/>
      <c r="D75" s="400"/>
      <c r="E75" s="1298"/>
      <c r="F75" s="1298"/>
      <c r="G75" s="1298"/>
      <c r="H75" s="1298"/>
      <c r="I75" s="1298"/>
      <c r="J75" s="1298"/>
      <c r="K75" s="1298"/>
      <c r="L75" s="1298"/>
      <c r="M75" s="1298"/>
      <c r="N75" s="1298"/>
      <c r="O75" s="1298"/>
      <c r="P75" s="1298"/>
      <c r="Q75" s="1298"/>
      <c r="R75" s="1298"/>
      <c r="S75" s="1298"/>
      <c r="T75" s="1298"/>
      <c r="U75" s="1298"/>
      <c r="V75" s="1298"/>
      <c r="W75" s="1298"/>
      <c r="X75" s="1298"/>
      <c r="Y75" s="1298"/>
      <c r="Z75" s="1298"/>
      <c r="AA75" s="1298"/>
      <c r="AB75" s="434"/>
      <c r="AC75" s="434"/>
    </row>
    <row r="76" spans="1:37" ht="12.9"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 customHeight="1">
      <c r="C77" s="400"/>
      <c r="D77" s="205" t="s">
        <v>1249</v>
      </c>
      <c r="AB77" s="1286">
        <f>ROUND(IF(ISERROR((AB59/AB72)),0,(AB59/AB72)),0)</f>
        <v>0</v>
      </c>
      <c r="AC77" s="1286"/>
      <c r="AD77" s="1286"/>
      <c r="AE77" s="1286"/>
      <c r="AF77" s="1286"/>
    </row>
    <row r="78" spans="1:37" ht="12.9" customHeight="1">
      <c r="C78" s="400"/>
      <c r="D78" s="205" t="s">
        <v>1250</v>
      </c>
      <c r="AB78" s="1287">
        <f>ROUNDUP(MIN(Y69,AB77),0)</f>
        <v>0</v>
      </c>
      <c r="AC78" s="1288"/>
      <c r="AD78" s="1288"/>
      <c r="AE78" s="1288"/>
      <c r="AF78" s="1289"/>
    </row>
    <row r="79" spans="1:37" ht="12.9" customHeight="1">
      <c r="C79" s="400"/>
      <c r="D79" s="205" t="s">
        <v>1251</v>
      </c>
      <c r="AB79" s="1290">
        <f>AB78*AB72</f>
        <v>0</v>
      </c>
      <c r="AC79" s="1290"/>
      <c r="AD79" s="1290"/>
      <c r="AE79" s="1290"/>
      <c r="AF79" s="1290"/>
    </row>
    <row r="80" spans="1:37" ht="12.9" customHeight="1">
      <c r="C80" s="400"/>
      <c r="D80" s="400"/>
      <c r="AB80" s="421"/>
      <c r="AC80" s="421"/>
      <c r="AD80" s="421"/>
      <c r="AE80" s="421"/>
      <c r="AF80" s="421"/>
    </row>
    <row r="81" spans="1:78" ht="12.9" customHeight="1">
      <c r="D81" s="400" t="s">
        <v>752</v>
      </c>
      <c r="AB81" s="1291">
        <f>AB49-(AB57+AB79)</f>
        <v>0</v>
      </c>
      <c r="AC81" s="1291"/>
      <c r="AD81" s="1291"/>
      <c r="AE81" s="1291"/>
      <c r="AF81" s="1291"/>
    </row>
    <row r="82" spans="1:78" ht="12.9" customHeight="1">
      <c r="F82" s="518"/>
      <c r="J82" s="518" t="str">
        <f>IF(AB81&gt;0,"FUNDING GAP MUST NOT EXCEED ZERO","")</f>
        <v/>
      </c>
    </row>
    <row r="83" spans="1:78" ht="12.9" customHeight="1">
      <c r="D83" s="519"/>
    </row>
    <row r="84" spans="1:78" ht="12.9" customHeight="1" thickBot="1">
      <c r="A84" s="1310"/>
      <c r="B84" s="1310"/>
      <c r="C84" s="1310"/>
      <c r="D84" s="1310"/>
      <c r="E84" s="1310"/>
      <c r="F84" s="1310"/>
      <c r="G84" s="1310"/>
      <c r="H84" s="1310"/>
      <c r="I84" s="1310"/>
      <c r="J84" s="1310"/>
      <c r="K84" s="1310"/>
      <c r="L84" s="1310"/>
      <c r="M84" s="1310"/>
      <c r="N84" s="1310"/>
      <c r="O84" s="1310"/>
      <c r="P84" s="1310"/>
      <c r="Q84" s="1310"/>
      <c r="R84" s="1310"/>
      <c r="S84" s="1310"/>
      <c r="T84" s="1310"/>
      <c r="U84" s="1310"/>
      <c r="V84" s="1310"/>
      <c r="W84" s="1310"/>
      <c r="X84" s="1310"/>
      <c r="Y84" s="1310"/>
      <c r="Z84" s="1310"/>
      <c r="AA84" s="1310"/>
      <c r="AB84" s="1310"/>
      <c r="AC84" s="1310"/>
      <c r="AD84" s="1310"/>
      <c r="AE84" s="1310"/>
      <c r="AF84" s="1310"/>
      <c r="AG84" s="1310"/>
      <c r="AH84" s="1310"/>
      <c r="AI84" s="1310"/>
      <c r="AJ84" s="1310"/>
      <c r="AK84" s="1310"/>
      <c r="AL84" s="1310"/>
      <c r="AM84" s="1310"/>
      <c r="AN84" s="1310"/>
      <c r="AO84" s="1310"/>
      <c r="AP84" s="1310"/>
      <c r="AQ84" s="1310"/>
      <c r="AR84" s="1310"/>
      <c r="AS84" s="1310"/>
      <c r="AT84" s="1310"/>
      <c r="AU84" s="1310"/>
      <c r="AV84" s="1310"/>
      <c r="AW84" s="1310"/>
      <c r="AX84" s="1310"/>
      <c r="AY84" s="1310"/>
      <c r="AZ84" s="1310"/>
      <c r="BA84" s="1310"/>
      <c r="BB84" s="1310"/>
      <c r="BC84" s="1310"/>
      <c r="BD84" s="1310"/>
      <c r="BE84" s="1310"/>
      <c r="BF84" s="1310"/>
      <c r="BG84" s="1310"/>
      <c r="BH84" s="1310"/>
      <c r="BI84" s="1310"/>
      <c r="BJ84" s="1310"/>
      <c r="BK84" s="1310"/>
      <c r="BL84" s="1310"/>
      <c r="BM84" s="1310"/>
      <c r="BN84" s="1310"/>
      <c r="BO84" s="1310"/>
      <c r="BP84" s="1310"/>
      <c r="BQ84" s="1310"/>
      <c r="BR84" s="1310"/>
      <c r="BS84" s="1310"/>
      <c r="BT84" s="1310"/>
      <c r="BU84" s="1310"/>
      <c r="BV84" s="1310"/>
      <c r="BW84" s="1310"/>
      <c r="BX84" s="1310"/>
    </row>
    <row r="85" spans="1:78" ht="12.9" customHeight="1" thickTop="1"/>
    <row r="86" spans="1:78" ht="12.9" hidden="1" customHeight="1">
      <c r="A86" s="400"/>
      <c r="C86" s="205"/>
    </row>
    <row r="87" spans="1:78" ht="12.9" hidden="1" customHeight="1">
      <c r="D87" s="205"/>
      <c r="AB87" s="1345"/>
      <c r="AC87" s="1345"/>
      <c r="AD87" s="1345"/>
      <c r="AE87" s="1345"/>
      <c r="AF87" s="1345"/>
    </row>
    <row r="88" spans="1:78" ht="12.9" hidden="1" customHeight="1" thickBot="1">
      <c r="D88" s="205"/>
      <c r="AB88" s="1344"/>
      <c r="AC88" s="1344"/>
      <c r="AD88" s="1344"/>
      <c r="AE88" s="1344"/>
      <c r="AF88" s="1344"/>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85" zoomScaleNormal="85" workbookViewId="0">
      <selection activeCell="O112" sqref="O112"/>
    </sheetView>
  </sheetViews>
  <sheetFormatPr defaultColWidth="0" defaultRowHeight="13.2" zeroHeight="1"/>
  <cols>
    <col min="1" max="1" width="2.6640625" style="14" customWidth="1"/>
    <col min="2" max="3" width="2.44140625" style="14" customWidth="1"/>
    <col min="4" max="4" width="3.109375" style="14" customWidth="1"/>
    <col min="5" max="5" width="3.44140625" style="14" customWidth="1"/>
    <col min="6" max="6" width="2.88671875" style="14" customWidth="1"/>
    <col min="7" max="14" width="2.44140625" style="14" customWidth="1"/>
    <col min="15" max="15" width="2.88671875" style="14" customWidth="1"/>
    <col min="16" max="16" width="2.44140625" style="14" customWidth="1"/>
    <col min="17" max="17" width="3.88671875" style="14" customWidth="1"/>
    <col min="18" max="18" width="4.5546875" style="14" customWidth="1"/>
    <col min="19" max="19" width="3.3320312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8671875" style="14" hidden="1" customWidth="1"/>
    <col min="47" max="48" width="5.5546875" style="14" hidden="1" customWidth="1"/>
    <col min="49" max="49" width="8.664062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09375" style="14" hidden="1"/>
  </cols>
  <sheetData>
    <row r="1" spans="1:41" ht="15.75" customHeight="1">
      <c r="A1" s="2444" t="s">
        <v>1296</v>
      </c>
      <c r="B1" s="2444"/>
      <c r="C1" s="2444"/>
      <c r="D1" s="2444"/>
      <c r="E1" s="2444"/>
      <c r="F1" s="2444"/>
      <c r="G1" s="2444"/>
      <c r="H1" s="2444"/>
      <c r="I1" s="2444"/>
      <c r="J1" s="2444"/>
      <c r="K1" s="2444"/>
      <c r="L1" s="2444"/>
      <c r="M1" s="2444"/>
      <c r="N1" s="2444"/>
      <c r="O1" s="2444"/>
      <c r="P1" s="2444"/>
      <c r="Q1" s="2444"/>
      <c r="R1" s="2444"/>
      <c r="S1" s="2444"/>
      <c r="T1" s="2444"/>
      <c r="U1" s="2444"/>
      <c r="V1" s="2444"/>
      <c r="W1" s="2444"/>
      <c r="X1" s="2444"/>
      <c r="Y1" s="2444"/>
      <c r="Z1" s="2444"/>
      <c r="AA1" s="2444"/>
      <c r="AB1" s="2444"/>
      <c r="AC1" s="2444"/>
      <c r="AD1" s="2444"/>
      <c r="AE1" s="2444"/>
      <c r="AF1" s="2444"/>
      <c r="AG1" s="2444"/>
      <c r="AH1" s="2444"/>
      <c r="AI1" s="2444"/>
      <c r="AJ1" s="2444"/>
      <c r="AK1" s="2444"/>
      <c r="AL1" s="2444"/>
      <c r="AM1" s="2444"/>
    </row>
    <row r="2" spans="1:41" s="532" customFormat="1" ht="12.75" customHeight="1" thickBot="1">
      <c r="A2" s="2445"/>
      <c r="B2" s="2445"/>
      <c r="C2" s="2445"/>
      <c r="D2" s="2445"/>
      <c r="E2" s="2445"/>
      <c r="F2" s="2445"/>
      <c r="G2" s="2445"/>
      <c r="H2" s="2445"/>
      <c r="I2" s="2445"/>
      <c r="J2" s="2445"/>
      <c r="K2" s="2445"/>
      <c r="L2" s="2445"/>
      <c r="M2" s="2445"/>
      <c r="N2" s="2445"/>
      <c r="O2" s="2445"/>
      <c r="P2" s="2445"/>
      <c r="Q2" s="2445"/>
      <c r="R2" s="2445"/>
      <c r="S2" s="2445"/>
      <c r="T2" s="2445"/>
      <c r="U2" s="2445"/>
      <c r="V2" s="2445"/>
      <c r="W2" s="2445"/>
      <c r="X2" s="2445"/>
      <c r="Y2" s="2445"/>
      <c r="Z2" s="2445"/>
      <c r="AA2" s="2445"/>
      <c r="AB2" s="2445"/>
      <c r="AC2" s="2445"/>
      <c r="AD2" s="2445"/>
      <c r="AE2" s="2445"/>
      <c r="AF2" s="2445"/>
      <c r="AG2" s="2445"/>
      <c r="AH2" s="2445"/>
      <c r="AI2" s="2445"/>
      <c r="AJ2" s="2445"/>
      <c r="AK2" s="2445"/>
      <c r="AL2" s="2445"/>
      <c r="AM2" s="2445"/>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7" t="s">
        <v>1300</v>
      </c>
      <c r="AF7" s="2437"/>
      <c r="AG7" s="2437"/>
      <c r="AH7" s="2437"/>
      <c r="AI7" s="2437"/>
      <c r="AJ7" s="2437"/>
      <c r="AK7" s="2437"/>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9" t="s">
        <v>589</v>
      </c>
      <c r="C11" s="2409"/>
      <c r="D11" s="536"/>
      <c r="E11" s="2425" t="s">
        <v>2539</v>
      </c>
      <c r="F11" s="2426"/>
      <c r="G11" s="2426"/>
      <c r="H11" s="2426"/>
      <c r="I11" s="2426"/>
      <c r="J11" s="2426"/>
      <c r="K11" s="2426"/>
      <c r="L11" s="2426"/>
      <c r="M11" s="2426"/>
      <c r="N11" s="2426"/>
      <c r="O11" s="2426"/>
      <c r="P11" s="2426"/>
      <c r="Q11" s="2426"/>
      <c r="R11" s="2426"/>
      <c r="S11" s="2426"/>
      <c r="T11" s="2426"/>
      <c r="U11" s="2426"/>
      <c r="V11" s="2426"/>
      <c r="W11" s="2426"/>
      <c r="X11" s="2426"/>
      <c r="Y11" s="2426"/>
      <c r="Z11" s="2426"/>
      <c r="AA11" s="2426"/>
      <c r="AB11" s="2426"/>
      <c r="AC11" s="2426"/>
      <c r="AD11" s="2426"/>
      <c r="AE11" s="2426"/>
      <c r="AF11" s="2426"/>
      <c r="AG11" s="2426"/>
      <c r="AH11" s="2426"/>
      <c r="AI11" s="2426"/>
      <c r="AJ11" s="2427"/>
      <c r="AK11" s="536"/>
      <c r="AL11" s="536"/>
      <c r="AM11" s="536"/>
      <c r="AN11" s="531"/>
      <c r="AO11" s="552"/>
    </row>
    <row r="12" spans="1:41" s="532" customFormat="1" ht="12.75" customHeight="1">
      <c r="A12" s="536"/>
      <c r="D12" s="541"/>
      <c r="E12" s="2454"/>
      <c r="F12" s="2455"/>
      <c r="G12" s="2455"/>
      <c r="H12" s="2455"/>
      <c r="I12" s="2455"/>
      <c r="J12" s="2455"/>
      <c r="K12" s="2455"/>
      <c r="L12" s="2455"/>
      <c r="M12" s="2455"/>
      <c r="N12" s="2455"/>
      <c r="O12" s="2455"/>
      <c r="P12" s="2455"/>
      <c r="Q12" s="2455"/>
      <c r="R12" s="2455"/>
      <c r="S12" s="2455"/>
      <c r="T12" s="2455"/>
      <c r="U12" s="2455"/>
      <c r="V12" s="2455"/>
      <c r="W12" s="2455"/>
      <c r="X12" s="2455"/>
      <c r="Y12" s="2455"/>
      <c r="Z12" s="2455"/>
      <c r="AA12" s="2455"/>
      <c r="AB12" s="2455"/>
      <c r="AC12" s="2455"/>
      <c r="AD12" s="2455"/>
      <c r="AE12" s="2455"/>
      <c r="AF12" s="2455"/>
      <c r="AG12" s="2455"/>
      <c r="AH12" s="2455"/>
      <c r="AI12" s="2455"/>
      <c r="AJ12" s="2456"/>
      <c r="AK12" s="536"/>
      <c r="AL12" s="536"/>
      <c r="AM12" s="536"/>
      <c r="AN12" s="531"/>
      <c r="AO12" s="552"/>
    </row>
    <row r="13" spans="1:41" s="532" customFormat="1" ht="12.75" customHeight="1">
      <c r="A13" s="536"/>
      <c r="D13" s="536"/>
      <c r="E13" s="2428"/>
      <c r="F13" s="2429"/>
      <c r="G13" s="2429"/>
      <c r="H13" s="2429"/>
      <c r="I13" s="2429"/>
      <c r="J13" s="2429"/>
      <c r="K13" s="2429"/>
      <c r="L13" s="2429"/>
      <c r="M13" s="2429"/>
      <c r="N13" s="2429"/>
      <c r="O13" s="2429"/>
      <c r="P13" s="2429"/>
      <c r="Q13" s="2429"/>
      <c r="R13" s="2429"/>
      <c r="S13" s="2429"/>
      <c r="T13" s="2429"/>
      <c r="U13" s="2429"/>
      <c r="V13" s="2429"/>
      <c r="W13" s="2429"/>
      <c r="X13" s="2429"/>
      <c r="Y13" s="2429"/>
      <c r="Z13" s="2429"/>
      <c r="AA13" s="2429"/>
      <c r="AB13" s="2429"/>
      <c r="AC13" s="2429"/>
      <c r="AD13" s="2429"/>
      <c r="AE13" s="2429"/>
      <c r="AF13" s="2429"/>
      <c r="AG13" s="2429"/>
      <c r="AH13" s="2429"/>
      <c r="AI13" s="2429"/>
      <c r="AJ13" s="2430"/>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9" t="s">
        <v>589</v>
      </c>
      <c r="C15" s="2409"/>
      <c r="D15" s="536"/>
      <c r="E15" s="2425" t="s">
        <v>2540</v>
      </c>
      <c r="F15" s="2426"/>
      <c r="G15" s="2426"/>
      <c r="H15" s="2426"/>
      <c r="I15" s="2426"/>
      <c r="J15" s="2426"/>
      <c r="K15" s="2426"/>
      <c r="L15" s="2426"/>
      <c r="M15" s="2426"/>
      <c r="N15" s="2426"/>
      <c r="O15" s="2426"/>
      <c r="P15" s="2426"/>
      <c r="Q15" s="2426"/>
      <c r="R15" s="2426"/>
      <c r="S15" s="2426"/>
      <c r="T15" s="2426"/>
      <c r="U15" s="2426"/>
      <c r="V15" s="2426"/>
      <c r="W15" s="2426"/>
      <c r="X15" s="2426"/>
      <c r="Y15" s="2426"/>
      <c r="Z15" s="2426"/>
      <c r="AA15" s="2426"/>
      <c r="AB15" s="2426"/>
      <c r="AC15" s="2426"/>
      <c r="AD15" s="2426"/>
      <c r="AE15" s="2426"/>
      <c r="AF15" s="2426"/>
      <c r="AG15" s="2426"/>
      <c r="AH15" s="2426"/>
      <c r="AI15" s="2426"/>
      <c r="AJ15" s="2427"/>
      <c r="AK15" s="536"/>
      <c r="AL15" s="536"/>
      <c r="AM15" s="536"/>
      <c r="AN15" s="531"/>
    </row>
    <row r="16" spans="1:41" s="532" customFormat="1" ht="12.75" customHeight="1">
      <c r="A16" s="536"/>
      <c r="B16" s="536"/>
      <c r="C16" s="536"/>
      <c r="D16" s="536"/>
      <c r="E16" s="2454"/>
      <c r="F16" s="2455"/>
      <c r="G16" s="2455"/>
      <c r="H16" s="2455"/>
      <c r="I16" s="2455"/>
      <c r="J16" s="2455"/>
      <c r="K16" s="2455"/>
      <c r="L16" s="2455"/>
      <c r="M16" s="2455"/>
      <c r="N16" s="2455"/>
      <c r="O16" s="2455"/>
      <c r="P16" s="2455"/>
      <c r="Q16" s="2455"/>
      <c r="R16" s="2455"/>
      <c r="S16" s="2455"/>
      <c r="T16" s="2455"/>
      <c r="U16" s="2455"/>
      <c r="V16" s="2455"/>
      <c r="W16" s="2455"/>
      <c r="X16" s="2455"/>
      <c r="Y16" s="2455"/>
      <c r="Z16" s="2455"/>
      <c r="AA16" s="2455"/>
      <c r="AB16" s="2455"/>
      <c r="AC16" s="2455"/>
      <c r="AD16" s="2455"/>
      <c r="AE16" s="2455"/>
      <c r="AF16" s="2455"/>
      <c r="AG16" s="2455"/>
      <c r="AH16" s="2455"/>
      <c r="AI16" s="2455"/>
      <c r="AJ16" s="2456"/>
      <c r="AK16" s="536"/>
      <c r="AL16" s="536"/>
      <c r="AM16" s="536"/>
      <c r="AN16" s="531"/>
    </row>
    <row r="17" spans="1:50" s="532" customFormat="1" ht="12.75" customHeight="1">
      <c r="A17" s="536"/>
      <c r="B17" s="536"/>
      <c r="C17" s="1130"/>
      <c r="D17" s="536"/>
      <c r="E17" s="2428"/>
      <c r="F17" s="2429"/>
      <c r="G17" s="2429"/>
      <c r="H17" s="2429"/>
      <c r="I17" s="2429"/>
      <c r="J17" s="2429"/>
      <c r="K17" s="2429"/>
      <c r="L17" s="2429"/>
      <c r="M17" s="2429"/>
      <c r="N17" s="2429"/>
      <c r="O17" s="2429"/>
      <c r="P17" s="2429"/>
      <c r="Q17" s="2429"/>
      <c r="R17" s="2429"/>
      <c r="S17" s="2429"/>
      <c r="T17" s="2429"/>
      <c r="U17" s="2429"/>
      <c r="V17" s="2429"/>
      <c r="W17" s="2429"/>
      <c r="X17" s="2429"/>
      <c r="Y17" s="2429"/>
      <c r="Z17" s="2429"/>
      <c r="AA17" s="2429"/>
      <c r="AB17" s="2429"/>
      <c r="AC17" s="2429"/>
      <c r="AD17" s="2429"/>
      <c r="AE17" s="2429"/>
      <c r="AF17" s="2429"/>
      <c r="AG17" s="2429"/>
      <c r="AH17" s="2429"/>
      <c r="AI17" s="2429"/>
      <c r="AJ17" s="2430"/>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9" t="s">
        <v>589</v>
      </c>
      <c r="C19" s="2409"/>
      <c r="D19" s="536"/>
      <c r="E19" s="2425" t="s">
        <v>1972</v>
      </c>
      <c r="F19" s="2426"/>
      <c r="G19" s="2426"/>
      <c r="H19" s="2426"/>
      <c r="I19" s="2426"/>
      <c r="J19" s="2426"/>
      <c r="K19" s="2426"/>
      <c r="L19" s="2426"/>
      <c r="M19" s="2426"/>
      <c r="N19" s="2426"/>
      <c r="O19" s="2426"/>
      <c r="P19" s="2426"/>
      <c r="Q19" s="2426"/>
      <c r="R19" s="2426"/>
      <c r="S19" s="2426"/>
      <c r="T19" s="2426"/>
      <c r="U19" s="2426"/>
      <c r="V19" s="2426"/>
      <c r="W19" s="2426"/>
      <c r="X19" s="2426"/>
      <c r="Y19" s="2426"/>
      <c r="Z19" s="2426"/>
      <c r="AA19" s="2426"/>
      <c r="AB19" s="2426"/>
      <c r="AC19" s="2426"/>
      <c r="AD19" s="2426"/>
      <c r="AE19" s="2426"/>
      <c r="AF19" s="2426"/>
      <c r="AG19" s="2426"/>
      <c r="AH19" s="2426"/>
      <c r="AI19" s="2426"/>
      <c r="AJ19" s="2427"/>
      <c r="AK19" s="536"/>
      <c r="AL19" s="536"/>
      <c r="AM19" s="536"/>
      <c r="AN19" s="531"/>
    </row>
    <row r="20" spans="1:50" s="532" customFormat="1" ht="12.75" customHeight="1">
      <c r="A20" s="536"/>
      <c r="B20" s="541"/>
      <c r="C20" s="541"/>
      <c r="D20" s="541"/>
      <c r="E20" s="2428"/>
      <c r="F20" s="2429"/>
      <c r="G20" s="2429"/>
      <c r="H20" s="2429"/>
      <c r="I20" s="2429"/>
      <c r="J20" s="2429"/>
      <c r="K20" s="2429"/>
      <c r="L20" s="2429"/>
      <c r="M20" s="2429"/>
      <c r="N20" s="2429"/>
      <c r="O20" s="2429"/>
      <c r="P20" s="2429"/>
      <c r="Q20" s="2429"/>
      <c r="R20" s="2429"/>
      <c r="S20" s="2429"/>
      <c r="T20" s="2429"/>
      <c r="U20" s="2429"/>
      <c r="V20" s="2429"/>
      <c r="W20" s="2429"/>
      <c r="X20" s="2429"/>
      <c r="Y20" s="2429"/>
      <c r="Z20" s="2429"/>
      <c r="AA20" s="2429"/>
      <c r="AB20" s="2429"/>
      <c r="AC20" s="2429"/>
      <c r="AD20" s="2429"/>
      <c r="AE20" s="2429"/>
      <c r="AF20" s="2429"/>
      <c r="AG20" s="2429"/>
      <c r="AH20" s="2429"/>
      <c r="AI20" s="2429"/>
      <c r="AJ20" s="2430"/>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09" t="s">
        <v>589</v>
      </c>
      <c r="C26" s="2409"/>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6"/>
      <c r="AH26" s="2446"/>
      <c r="AI26" s="2446"/>
      <c r="AJ26" s="2447"/>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9" t="s">
        <v>589</v>
      </c>
      <c r="C30" s="2409"/>
      <c r="D30" s="541"/>
      <c r="E30" s="2410" t="s">
        <v>2546</v>
      </c>
      <c r="F30" s="2411"/>
      <c r="G30" s="2411"/>
      <c r="H30" s="2411"/>
      <c r="I30" s="2411"/>
      <c r="J30" s="2411"/>
      <c r="K30" s="2411"/>
      <c r="L30" s="2411"/>
      <c r="M30" s="2411"/>
      <c r="N30" s="2411"/>
      <c r="O30" s="2411"/>
      <c r="P30" s="2411"/>
      <c r="Q30" s="2411"/>
      <c r="R30" s="2411"/>
      <c r="S30" s="2411"/>
      <c r="T30" s="2411"/>
      <c r="U30" s="2411"/>
      <c r="V30" s="2411"/>
      <c r="W30" s="2411"/>
      <c r="X30" s="2411"/>
      <c r="Y30" s="2411"/>
      <c r="Z30" s="2411"/>
      <c r="AA30" s="2411"/>
      <c r="AB30" s="2411"/>
      <c r="AC30" s="2411"/>
      <c r="AD30" s="2411"/>
      <c r="AE30" s="2411"/>
      <c r="AF30" s="2411"/>
      <c r="AG30" s="2411"/>
      <c r="AH30" s="2411"/>
      <c r="AI30" s="2411"/>
      <c r="AJ30" s="2412"/>
      <c r="AK30" s="536"/>
      <c r="AL30" s="536"/>
      <c r="AM30" s="536"/>
      <c r="AN30" s="531"/>
      <c r="AO30" s="544">
        <f>IF($B30="yes",9,0)</f>
        <v>0</v>
      </c>
    </row>
    <row r="31" spans="1:50" s="532" customFormat="1" ht="12.75" customHeight="1">
      <c r="A31" s="536"/>
      <c r="B31" s="536"/>
      <c r="C31" s="536"/>
      <c r="E31" s="2413"/>
      <c r="F31" s="2414"/>
      <c r="G31" s="2414"/>
      <c r="H31" s="2414"/>
      <c r="I31" s="2414"/>
      <c r="J31" s="2414"/>
      <c r="K31" s="2414"/>
      <c r="L31" s="2414"/>
      <c r="M31" s="2414"/>
      <c r="N31" s="2414"/>
      <c r="O31" s="2414"/>
      <c r="P31" s="2414"/>
      <c r="Q31" s="2414"/>
      <c r="R31" s="2414"/>
      <c r="S31" s="2414"/>
      <c r="T31" s="2414"/>
      <c r="U31" s="2414"/>
      <c r="V31" s="2414"/>
      <c r="W31" s="2414"/>
      <c r="X31" s="2414"/>
      <c r="Y31" s="2414"/>
      <c r="Z31" s="2414"/>
      <c r="AA31" s="2414"/>
      <c r="AB31" s="2414"/>
      <c r="AC31" s="2414"/>
      <c r="AD31" s="2414"/>
      <c r="AE31" s="2414"/>
      <c r="AF31" s="2414"/>
      <c r="AG31" s="2414"/>
      <c r="AH31" s="2414"/>
      <c r="AI31" s="2414"/>
      <c r="AJ31" s="2415"/>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9" t="s">
        <v>589</v>
      </c>
      <c r="C33" s="2409"/>
      <c r="D33" s="541"/>
      <c r="E33" s="2410" t="s">
        <v>2547</v>
      </c>
      <c r="F33" s="2411"/>
      <c r="G33" s="2411"/>
      <c r="H33" s="2411"/>
      <c r="I33" s="2411"/>
      <c r="J33" s="2411"/>
      <c r="K33" s="2411"/>
      <c r="L33" s="2411"/>
      <c r="M33" s="2411"/>
      <c r="N33" s="2411"/>
      <c r="O33" s="2411"/>
      <c r="P33" s="2411"/>
      <c r="Q33" s="2411"/>
      <c r="R33" s="2411"/>
      <c r="S33" s="2411"/>
      <c r="T33" s="2411"/>
      <c r="U33" s="2411"/>
      <c r="V33" s="2411"/>
      <c r="W33" s="2411"/>
      <c r="X33" s="2411"/>
      <c r="Y33" s="2411"/>
      <c r="Z33" s="2411"/>
      <c r="AA33" s="2411"/>
      <c r="AB33" s="2411"/>
      <c r="AC33" s="2411"/>
      <c r="AD33" s="2411"/>
      <c r="AE33" s="2411"/>
      <c r="AF33" s="2411"/>
      <c r="AG33" s="2411"/>
      <c r="AH33" s="2411"/>
      <c r="AI33" s="2411"/>
      <c r="AJ33" s="2412"/>
      <c r="AK33" s="536"/>
      <c r="AL33" s="536"/>
      <c r="AM33" s="536"/>
      <c r="AN33" s="531"/>
      <c r="AO33" s="544">
        <f>IF($B39="yes",9,0)</f>
        <v>0</v>
      </c>
    </row>
    <row r="34" spans="1:43" s="532" customFormat="1" ht="12.75" customHeight="1">
      <c r="A34" s="536"/>
      <c r="B34" s="536"/>
      <c r="C34" s="536"/>
      <c r="D34" s="541"/>
      <c r="E34" s="2451"/>
      <c r="F34" s="2452"/>
      <c r="G34" s="2452"/>
      <c r="H34" s="2452"/>
      <c r="I34" s="2452"/>
      <c r="J34" s="2452"/>
      <c r="K34" s="2452"/>
      <c r="L34" s="2452"/>
      <c r="M34" s="2452"/>
      <c r="N34" s="2452"/>
      <c r="O34" s="2452"/>
      <c r="P34" s="2452"/>
      <c r="Q34" s="2452"/>
      <c r="R34" s="2452"/>
      <c r="S34" s="2452"/>
      <c r="T34" s="2452"/>
      <c r="U34" s="2452"/>
      <c r="V34" s="2452"/>
      <c r="W34" s="2452"/>
      <c r="X34" s="2452"/>
      <c r="Y34" s="2452"/>
      <c r="Z34" s="2452"/>
      <c r="AA34" s="2452"/>
      <c r="AB34" s="2452"/>
      <c r="AC34" s="2452"/>
      <c r="AD34" s="2452"/>
      <c r="AE34" s="2452"/>
      <c r="AF34" s="2452"/>
      <c r="AG34" s="2452"/>
      <c r="AH34" s="2452"/>
      <c r="AI34" s="2452"/>
      <c r="AJ34" s="2453"/>
      <c r="AK34" s="536"/>
      <c r="AL34" s="536"/>
      <c r="AM34" s="536"/>
      <c r="AN34" s="531"/>
      <c r="AO34" s="532">
        <f>MAX(AO30,AO31,AO32,AO33)</f>
        <v>0</v>
      </c>
      <c r="AP34" s="532" t="s">
        <v>1302</v>
      </c>
    </row>
    <row r="35" spans="1:43" s="532" customFormat="1" ht="12.75" customHeight="1">
      <c r="A35" s="536"/>
      <c r="B35" s="536"/>
      <c r="C35" s="536"/>
      <c r="E35" s="2413"/>
      <c r="F35" s="2414"/>
      <c r="G35" s="2414"/>
      <c r="H35" s="2414"/>
      <c r="I35" s="2414"/>
      <c r="J35" s="2414"/>
      <c r="K35" s="2414"/>
      <c r="L35" s="2414"/>
      <c r="M35" s="2414"/>
      <c r="N35" s="2414"/>
      <c r="O35" s="2414"/>
      <c r="P35" s="2414"/>
      <c r="Q35" s="2414"/>
      <c r="R35" s="2414"/>
      <c r="S35" s="2414"/>
      <c r="T35" s="2414"/>
      <c r="U35" s="2414"/>
      <c r="V35" s="2414"/>
      <c r="W35" s="2414"/>
      <c r="X35" s="2414"/>
      <c r="Y35" s="2414"/>
      <c r="Z35" s="2414"/>
      <c r="AA35" s="2414"/>
      <c r="AB35" s="2414"/>
      <c r="AC35" s="2414"/>
      <c r="AD35" s="2414"/>
      <c r="AE35" s="2414"/>
      <c r="AF35" s="2414"/>
      <c r="AG35" s="2414"/>
      <c r="AH35" s="2414"/>
      <c r="AI35" s="2414"/>
      <c r="AJ35" s="2415"/>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9" t="s">
        <v>589</v>
      </c>
      <c r="C37" s="2409"/>
      <c r="D37" s="1131"/>
      <c r="E37" s="2416" t="s">
        <v>2551</v>
      </c>
      <c r="F37" s="2417"/>
      <c r="G37" s="2417"/>
      <c r="H37" s="2417"/>
      <c r="I37" s="2417"/>
      <c r="J37" s="2417"/>
      <c r="K37" s="2417"/>
      <c r="L37" s="2417"/>
      <c r="M37" s="2417"/>
      <c r="N37" s="2417"/>
      <c r="O37" s="2417"/>
      <c r="P37" s="2417"/>
      <c r="Q37" s="2417"/>
      <c r="R37" s="2417"/>
      <c r="S37" s="2417"/>
      <c r="T37" s="2417"/>
      <c r="U37" s="2417"/>
      <c r="V37" s="2417"/>
      <c r="W37" s="2417"/>
      <c r="X37" s="2417"/>
      <c r="Y37" s="2417"/>
      <c r="Z37" s="2417"/>
      <c r="AA37" s="2417"/>
      <c r="AB37" s="2417"/>
      <c r="AC37" s="2417"/>
      <c r="AD37" s="2417"/>
      <c r="AE37" s="2417"/>
      <c r="AF37" s="2417"/>
      <c r="AG37" s="2417"/>
      <c r="AH37" s="2417"/>
      <c r="AI37" s="2417"/>
      <c r="AJ37" s="2418"/>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9" t="s">
        <v>589</v>
      </c>
      <c r="C39" s="2409"/>
      <c r="D39" s="1131"/>
      <c r="E39" s="2416" t="s">
        <v>2548</v>
      </c>
      <c r="F39" s="2417"/>
      <c r="G39" s="2417"/>
      <c r="H39" s="2417"/>
      <c r="I39" s="2417"/>
      <c r="J39" s="2417"/>
      <c r="K39" s="2417"/>
      <c r="L39" s="2417"/>
      <c r="M39" s="2417"/>
      <c r="N39" s="2417"/>
      <c r="O39" s="2417"/>
      <c r="P39" s="2417"/>
      <c r="Q39" s="2417"/>
      <c r="R39" s="2417"/>
      <c r="S39" s="2417"/>
      <c r="T39" s="2417"/>
      <c r="U39" s="2417"/>
      <c r="V39" s="2417"/>
      <c r="W39" s="2417"/>
      <c r="X39" s="2417"/>
      <c r="Y39" s="2417"/>
      <c r="Z39" s="2417"/>
      <c r="AA39" s="2417"/>
      <c r="AB39" s="2417"/>
      <c r="AC39" s="2417"/>
      <c r="AD39" s="2417"/>
      <c r="AE39" s="2417"/>
      <c r="AF39" s="2417"/>
      <c r="AG39" s="2417"/>
      <c r="AH39" s="2417"/>
      <c r="AI39" s="2417"/>
      <c r="AJ39" s="2418"/>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9" t="s">
        <v>589</v>
      </c>
      <c r="C43" s="2409"/>
      <c r="D43" s="541"/>
      <c r="E43" s="2419" t="s">
        <v>2550</v>
      </c>
      <c r="F43" s="2420"/>
      <c r="G43" s="2420"/>
      <c r="H43" s="2420"/>
      <c r="I43" s="2420"/>
      <c r="J43" s="2420"/>
      <c r="K43" s="2420"/>
      <c r="L43" s="2420"/>
      <c r="M43" s="2420"/>
      <c r="N43" s="2420"/>
      <c r="O43" s="2420"/>
      <c r="P43" s="2420"/>
      <c r="Q43" s="2420"/>
      <c r="R43" s="2420"/>
      <c r="S43" s="2420"/>
      <c r="T43" s="2420"/>
      <c r="U43" s="2420"/>
      <c r="V43" s="2420"/>
      <c r="W43" s="2420"/>
      <c r="X43" s="2420"/>
      <c r="Y43" s="2420"/>
      <c r="Z43" s="2420"/>
      <c r="AA43" s="2420"/>
      <c r="AB43" s="2420"/>
      <c r="AC43" s="2420"/>
      <c r="AD43" s="2420"/>
      <c r="AE43" s="2420"/>
      <c r="AF43" s="2420"/>
      <c r="AG43" s="2420"/>
      <c r="AH43" s="2420"/>
      <c r="AI43" s="2420"/>
      <c r="AJ43" s="2421"/>
      <c r="AK43" s="536"/>
      <c r="AL43" s="536"/>
      <c r="AM43" s="536"/>
      <c r="AN43" s="531"/>
      <c r="AO43" s="544">
        <f>IF($B43="yes",8,0)</f>
        <v>0</v>
      </c>
      <c r="AP43" s="14"/>
    </row>
    <row r="44" spans="1:43" s="532" customFormat="1" ht="12.75" customHeight="1">
      <c r="A44" s="536"/>
      <c r="B44" s="536"/>
      <c r="C44" s="536"/>
      <c r="D44" s="545"/>
      <c r="E44" s="2422"/>
      <c r="F44" s="2423"/>
      <c r="G44" s="2423"/>
      <c r="H44" s="2423"/>
      <c r="I44" s="2423"/>
      <c r="J44" s="2423"/>
      <c r="K44" s="2423"/>
      <c r="L44" s="2423"/>
      <c r="M44" s="2423"/>
      <c r="N44" s="2423"/>
      <c r="O44" s="2423"/>
      <c r="P44" s="2423"/>
      <c r="Q44" s="2423"/>
      <c r="R44" s="2423"/>
      <c r="S44" s="2423"/>
      <c r="T44" s="2423"/>
      <c r="U44" s="2423"/>
      <c r="V44" s="2423"/>
      <c r="W44" s="2423"/>
      <c r="X44" s="2423"/>
      <c r="Y44" s="2423"/>
      <c r="Z44" s="2423"/>
      <c r="AA44" s="2423"/>
      <c r="AB44" s="2423"/>
      <c r="AC44" s="2423"/>
      <c r="AD44" s="2423"/>
      <c r="AE44" s="2423"/>
      <c r="AF44" s="2423"/>
      <c r="AG44" s="2423"/>
      <c r="AH44" s="2423"/>
      <c r="AI44" s="2423"/>
      <c r="AJ44" s="2424"/>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9" t="s">
        <v>589</v>
      </c>
      <c r="C46" s="2409"/>
      <c r="D46" s="541"/>
      <c r="E46" s="2410" t="s">
        <v>2549</v>
      </c>
      <c r="F46" s="2411"/>
      <c r="G46" s="2411"/>
      <c r="H46" s="2411"/>
      <c r="I46" s="2411"/>
      <c r="J46" s="2411"/>
      <c r="K46" s="2411"/>
      <c r="L46" s="2411"/>
      <c r="M46" s="2411"/>
      <c r="N46" s="2411"/>
      <c r="O46" s="2411"/>
      <c r="P46" s="2411"/>
      <c r="Q46" s="2411"/>
      <c r="R46" s="2411"/>
      <c r="S46" s="2411"/>
      <c r="T46" s="2411"/>
      <c r="U46" s="2411"/>
      <c r="V46" s="2411"/>
      <c r="W46" s="2411"/>
      <c r="X46" s="2411"/>
      <c r="Y46" s="2411"/>
      <c r="Z46" s="2411"/>
      <c r="AA46" s="2411"/>
      <c r="AB46" s="2411"/>
      <c r="AC46" s="2411"/>
      <c r="AD46" s="2411"/>
      <c r="AE46" s="2411"/>
      <c r="AF46" s="2411"/>
      <c r="AG46" s="2411"/>
      <c r="AH46" s="2411"/>
      <c r="AI46" s="2411"/>
      <c r="AJ46" s="2412"/>
      <c r="AK46" s="536"/>
      <c r="AL46" s="536"/>
      <c r="AM46" s="536"/>
      <c r="AN46" s="531"/>
      <c r="AO46" s="544">
        <f>IF($B52="yes",8,0)</f>
        <v>0</v>
      </c>
    </row>
    <row r="47" spans="1:43" s="532" customFormat="1" ht="12.75" customHeight="1">
      <c r="A47" s="536"/>
      <c r="B47" s="536"/>
      <c r="C47" s="536"/>
      <c r="D47" s="544"/>
      <c r="E47" s="2413"/>
      <c r="F47" s="2414"/>
      <c r="G47" s="2414"/>
      <c r="H47" s="2414"/>
      <c r="I47" s="2414"/>
      <c r="J47" s="2414"/>
      <c r="K47" s="2414"/>
      <c r="L47" s="2414"/>
      <c r="M47" s="2414"/>
      <c r="N47" s="2414"/>
      <c r="O47" s="2414"/>
      <c r="P47" s="2414"/>
      <c r="Q47" s="2414"/>
      <c r="R47" s="2414"/>
      <c r="S47" s="2414"/>
      <c r="T47" s="2414"/>
      <c r="U47" s="2414"/>
      <c r="V47" s="2414"/>
      <c r="W47" s="2414"/>
      <c r="X47" s="2414"/>
      <c r="Y47" s="2414"/>
      <c r="Z47" s="2414"/>
      <c r="AA47" s="2414"/>
      <c r="AB47" s="2414"/>
      <c r="AC47" s="2414"/>
      <c r="AD47" s="2414"/>
      <c r="AE47" s="2414"/>
      <c r="AF47" s="2414"/>
      <c r="AG47" s="2414"/>
      <c r="AH47" s="2414"/>
      <c r="AI47" s="2414"/>
      <c r="AJ47" s="2415"/>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9" t="s">
        <v>589</v>
      </c>
      <c r="C49" s="2409"/>
      <c r="D49" s="541"/>
      <c r="E49" s="2425" t="s">
        <v>2629</v>
      </c>
      <c r="F49" s="2426"/>
      <c r="G49" s="2426"/>
      <c r="H49" s="2426"/>
      <c r="I49" s="2426"/>
      <c r="J49" s="2426"/>
      <c r="K49" s="2426"/>
      <c r="L49" s="2426"/>
      <c r="M49" s="2426"/>
      <c r="N49" s="2426"/>
      <c r="O49" s="2426"/>
      <c r="P49" s="2426"/>
      <c r="Q49" s="2426"/>
      <c r="R49" s="2426"/>
      <c r="S49" s="2426"/>
      <c r="T49" s="2426"/>
      <c r="U49" s="2426"/>
      <c r="V49" s="2426"/>
      <c r="W49" s="2426"/>
      <c r="X49" s="2426"/>
      <c r="Y49" s="2426"/>
      <c r="Z49" s="2426"/>
      <c r="AA49" s="2426"/>
      <c r="AB49" s="2426"/>
      <c r="AC49" s="2426"/>
      <c r="AD49" s="2426"/>
      <c r="AE49" s="2426"/>
      <c r="AF49" s="2426"/>
      <c r="AG49" s="2426"/>
      <c r="AH49" s="2426"/>
      <c r="AI49" s="2426"/>
      <c r="AJ49" s="2427"/>
      <c r="AK49" s="536"/>
      <c r="AL49" s="536"/>
      <c r="AM49" s="536"/>
      <c r="AN49" s="531"/>
      <c r="AO49" s="544"/>
    </row>
    <row r="50" spans="1:42" s="532" customFormat="1" ht="12.75" hidden="1" customHeight="1">
      <c r="A50" s="536"/>
      <c r="B50" s="536"/>
      <c r="C50" s="536"/>
      <c r="D50" s="544"/>
      <c r="E50" s="2428"/>
      <c r="F50" s="2429"/>
      <c r="G50" s="2429"/>
      <c r="H50" s="2429"/>
      <c r="I50" s="2429"/>
      <c r="J50" s="2429"/>
      <c r="K50" s="2429"/>
      <c r="L50" s="2429"/>
      <c r="M50" s="2429"/>
      <c r="N50" s="2429"/>
      <c r="O50" s="2429"/>
      <c r="P50" s="2429"/>
      <c r="Q50" s="2429"/>
      <c r="R50" s="2429"/>
      <c r="S50" s="2429"/>
      <c r="T50" s="2429"/>
      <c r="U50" s="2429"/>
      <c r="V50" s="2429"/>
      <c r="W50" s="2429"/>
      <c r="X50" s="2429"/>
      <c r="Y50" s="2429"/>
      <c r="Z50" s="2429"/>
      <c r="AA50" s="2429"/>
      <c r="AB50" s="2429"/>
      <c r="AC50" s="2429"/>
      <c r="AD50" s="2429"/>
      <c r="AE50" s="2429"/>
      <c r="AF50" s="2429"/>
      <c r="AG50" s="2429"/>
      <c r="AH50" s="2429"/>
      <c r="AI50" s="2429"/>
      <c r="AJ50" s="2430"/>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9" t="s">
        <v>589</v>
      </c>
      <c r="C52" s="2409"/>
      <c r="D52" s="541"/>
      <c r="E52" s="2416" t="s">
        <v>2630</v>
      </c>
      <c r="F52" s="2417"/>
      <c r="G52" s="2417"/>
      <c r="H52" s="2417"/>
      <c r="I52" s="2417"/>
      <c r="J52" s="2417"/>
      <c r="K52" s="2417"/>
      <c r="L52" s="2417"/>
      <c r="M52" s="2417"/>
      <c r="N52" s="2417"/>
      <c r="O52" s="2417"/>
      <c r="P52" s="2417"/>
      <c r="Q52" s="2417"/>
      <c r="R52" s="2417"/>
      <c r="S52" s="2417"/>
      <c r="T52" s="2417"/>
      <c r="U52" s="2417"/>
      <c r="V52" s="2417"/>
      <c r="W52" s="2417"/>
      <c r="X52" s="2417"/>
      <c r="Y52" s="2417"/>
      <c r="Z52" s="2417"/>
      <c r="AA52" s="2417"/>
      <c r="AB52" s="2417"/>
      <c r="AC52" s="2417"/>
      <c r="AD52" s="2417"/>
      <c r="AE52" s="2417"/>
      <c r="AF52" s="2417"/>
      <c r="AG52" s="2417"/>
      <c r="AH52" s="2417"/>
      <c r="AI52" s="2417"/>
      <c r="AJ52" s="2418"/>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9" t="s">
        <v>589</v>
      </c>
      <c r="C56" s="2409"/>
      <c r="D56" s="541"/>
      <c r="E56" s="2425" t="s">
        <v>2552</v>
      </c>
      <c r="F56" s="2426"/>
      <c r="G56" s="2426"/>
      <c r="H56" s="2426"/>
      <c r="I56" s="2426"/>
      <c r="J56" s="2426"/>
      <c r="K56" s="2426"/>
      <c r="L56" s="2426"/>
      <c r="M56" s="2426"/>
      <c r="N56" s="2426"/>
      <c r="O56" s="2426"/>
      <c r="P56" s="2426"/>
      <c r="Q56" s="2426"/>
      <c r="R56" s="2426"/>
      <c r="S56" s="2426"/>
      <c r="T56" s="2426"/>
      <c r="U56" s="2426"/>
      <c r="V56" s="2426"/>
      <c r="W56" s="2426"/>
      <c r="X56" s="2426"/>
      <c r="Y56" s="2426"/>
      <c r="Z56" s="2426"/>
      <c r="AA56" s="2426"/>
      <c r="AB56" s="2426"/>
      <c r="AC56" s="2426"/>
      <c r="AD56" s="2426"/>
      <c r="AE56" s="2426"/>
      <c r="AF56" s="2426"/>
      <c r="AG56" s="2426"/>
      <c r="AH56" s="2426"/>
      <c r="AI56" s="2426"/>
      <c r="AJ56" s="2427"/>
      <c r="AK56" s="536"/>
      <c r="AL56" s="536"/>
      <c r="AM56" s="536"/>
      <c r="AN56" s="531"/>
      <c r="AO56" s="544">
        <f>IF($B59="yes",7,0)</f>
        <v>0</v>
      </c>
    </row>
    <row r="57" spans="1:42" s="532" customFormat="1" ht="12.75" customHeight="1">
      <c r="A57" s="536"/>
      <c r="B57" s="536"/>
      <c r="C57" s="536"/>
      <c r="D57" s="544"/>
      <c r="E57" s="2428"/>
      <c r="F57" s="2429"/>
      <c r="G57" s="2429"/>
      <c r="H57" s="2429"/>
      <c r="I57" s="2429"/>
      <c r="J57" s="2429"/>
      <c r="K57" s="2429"/>
      <c r="L57" s="2429"/>
      <c r="M57" s="2429"/>
      <c r="N57" s="2429"/>
      <c r="O57" s="2429"/>
      <c r="P57" s="2429"/>
      <c r="Q57" s="2429"/>
      <c r="R57" s="2429"/>
      <c r="S57" s="2429"/>
      <c r="T57" s="2429"/>
      <c r="U57" s="2429"/>
      <c r="V57" s="2429"/>
      <c r="W57" s="2429"/>
      <c r="X57" s="2429"/>
      <c r="Y57" s="2429"/>
      <c r="Z57" s="2429"/>
      <c r="AA57" s="2429"/>
      <c r="AB57" s="2429"/>
      <c r="AC57" s="2429"/>
      <c r="AD57" s="2429"/>
      <c r="AE57" s="2429"/>
      <c r="AF57" s="2429"/>
      <c r="AG57" s="2429"/>
      <c r="AH57" s="2429"/>
      <c r="AI57" s="2429"/>
      <c r="AJ57" s="2430"/>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9" t="s">
        <v>589</v>
      </c>
      <c r="C59" s="2409"/>
      <c r="D59" s="541"/>
      <c r="E59" s="2416" t="s">
        <v>2553</v>
      </c>
      <c r="F59" s="2417"/>
      <c r="G59" s="2417"/>
      <c r="H59" s="2417"/>
      <c r="I59" s="2417"/>
      <c r="J59" s="2417"/>
      <c r="K59" s="2417"/>
      <c r="L59" s="2417"/>
      <c r="M59" s="2417"/>
      <c r="N59" s="2417"/>
      <c r="O59" s="2417"/>
      <c r="P59" s="2417"/>
      <c r="Q59" s="2417"/>
      <c r="R59" s="2417"/>
      <c r="S59" s="2417"/>
      <c r="T59" s="2417"/>
      <c r="U59" s="2417"/>
      <c r="V59" s="2417"/>
      <c r="W59" s="2417"/>
      <c r="X59" s="2417"/>
      <c r="Y59" s="2417"/>
      <c r="Z59" s="2417"/>
      <c r="AA59" s="2417"/>
      <c r="AB59" s="2417"/>
      <c r="AC59" s="2417"/>
      <c r="AD59" s="2417"/>
      <c r="AE59" s="2417"/>
      <c r="AF59" s="2417"/>
      <c r="AG59" s="2417"/>
      <c r="AH59" s="2417"/>
      <c r="AI59" s="2417"/>
      <c r="AJ59" s="2418"/>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448">
        <f>AO60</f>
        <v>0</v>
      </c>
      <c r="AL61" s="2449"/>
      <c r="AM61" s="2450"/>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7" t="s">
        <v>1305</v>
      </c>
      <c r="AF64" s="2437"/>
      <c r="AG64" s="2437"/>
      <c r="AH64" s="2437"/>
      <c r="AI64" s="2437"/>
      <c r="AJ64" s="2437"/>
      <c r="AK64" s="2437"/>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9" t="s">
        <v>589</v>
      </c>
      <c r="C67" s="2409"/>
      <c r="D67" s="541" t="s">
        <v>1306</v>
      </c>
      <c r="E67" s="2419" t="s">
        <v>1973</v>
      </c>
      <c r="F67" s="2420"/>
      <c r="G67" s="2420"/>
      <c r="H67" s="2420"/>
      <c r="I67" s="2420"/>
      <c r="J67" s="2420"/>
      <c r="K67" s="2420"/>
      <c r="L67" s="2420"/>
      <c r="M67" s="2420"/>
      <c r="N67" s="2420"/>
      <c r="O67" s="2420"/>
      <c r="P67" s="2420"/>
      <c r="Q67" s="2420"/>
      <c r="R67" s="2420"/>
      <c r="S67" s="2420"/>
      <c r="T67" s="2420"/>
      <c r="U67" s="2420"/>
      <c r="V67" s="2420"/>
      <c r="W67" s="2420"/>
      <c r="X67" s="2420"/>
      <c r="Y67" s="2420"/>
      <c r="Z67" s="2420"/>
      <c r="AA67" s="2420"/>
      <c r="AB67" s="2420"/>
      <c r="AC67" s="2420"/>
      <c r="AD67" s="2420"/>
      <c r="AE67" s="2420"/>
      <c r="AF67" s="2420"/>
      <c r="AG67" s="2420"/>
      <c r="AH67" s="2420"/>
      <c r="AI67" s="2420"/>
      <c r="AJ67" s="2421"/>
      <c r="AK67" s="539"/>
      <c r="AL67" s="536"/>
      <c r="AM67" s="536"/>
      <c r="AN67" s="531"/>
      <c r="AO67" s="544">
        <f>IF($B67="yes",10,0)</f>
        <v>0</v>
      </c>
    </row>
    <row r="68" spans="1:42" s="532" customFormat="1" ht="12.75" customHeight="1">
      <c r="A68" s="534"/>
      <c r="B68" s="536"/>
      <c r="C68" s="536"/>
      <c r="D68" s="545"/>
      <c r="E68" s="2438"/>
      <c r="F68" s="2439"/>
      <c r="G68" s="2439"/>
      <c r="H68" s="2439"/>
      <c r="I68" s="2439"/>
      <c r="J68" s="2439"/>
      <c r="K68" s="2439"/>
      <c r="L68" s="2439"/>
      <c r="M68" s="2439"/>
      <c r="N68" s="2439"/>
      <c r="O68" s="2439"/>
      <c r="P68" s="2439"/>
      <c r="Q68" s="2439"/>
      <c r="R68" s="2439"/>
      <c r="S68" s="2439"/>
      <c r="T68" s="2439"/>
      <c r="U68" s="2439"/>
      <c r="V68" s="2439"/>
      <c r="W68" s="2439"/>
      <c r="X68" s="2439"/>
      <c r="Y68" s="2439"/>
      <c r="Z68" s="2439"/>
      <c r="AA68" s="2439"/>
      <c r="AB68" s="2439"/>
      <c r="AC68" s="2439"/>
      <c r="AD68" s="2439"/>
      <c r="AE68" s="2439"/>
      <c r="AF68" s="2439"/>
      <c r="AG68" s="2439"/>
      <c r="AH68" s="2439"/>
      <c r="AI68" s="2439"/>
      <c r="AJ68" s="2440"/>
      <c r="AK68" s="539"/>
      <c r="AL68" s="536"/>
      <c r="AM68" s="536"/>
      <c r="AN68" s="531"/>
      <c r="AO68" s="544">
        <f>IF(AND($B73="yes",OR(E74="Yes",E75="Yes",E76="Yes")),10,0)</f>
        <v>10</v>
      </c>
    </row>
    <row r="69" spans="1:42" s="532" customFormat="1" ht="12.75" customHeight="1">
      <c r="A69" s="534"/>
      <c r="B69" s="536"/>
      <c r="C69" s="536"/>
      <c r="D69" s="545"/>
      <c r="E69" s="2438"/>
      <c r="F69" s="2439"/>
      <c r="G69" s="2439"/>
      <c r="H69" s="2439"/>
      <c r="I69" s="2439"/>
      <c r="J69" s="2439"/>
      <c r="K69" s="2439"/>
      <c r="L69" s="2439"/>
      <c r="M69" s="2439"/>
      <c r="N69" s="2439"/>
      <c r="O69" s="2439"/>
      <c r="P69" s="2439"/>
      <c r="Q69" s="2439"/>
      <c r="R69" s="2439"/>
      <c r="S69" s="2439"/>
      <c r="T69" s="2439"/>
      <c r="U69" s="2439"/>
      <c r="V69" s="2439"/>
      <c r="W69" s="2439"/>
      <c r="X69" s="2439"/>
      <c r="Y69" s="2439"/>
      <c r="Z69" s="2439"/>
      <c r="AA69" s="2439"/>
      <c r="AB69" s="2439"/>
      <c r="AC69" s="2439"/>
      <c r="AD69" s="2439"/>
      <c r="AE69" s="2439"/>
      <c r="AF69" s="2439"/>
      <c r="AG69" s="2439"/>
      <c r="AH69" s="2439"/>
      <c r="AI69" s="2439"/>
      <c r="AJ69" s="2440"/>
      <c r="AK69" s="539"/>
      <c r="AL69" s="536"/>
      <c r="AM69" s="536"/>
      <c r="AN69" s="531"/>
      <c r="AO69" s="544">
        <f>IF($B78="yes",10,0)</f>
        <v>0</v>
      </c>
    </row>
    <row r="70" spans="1:42" s="532" customFormat="1" ht="12.75" customHeight="1">
      <c r="A70" s="534"/>
      <c r="B70" s="536"/>
      <c r="C70" s="536"/>
      <c r="D70" s="545"/>
      <c r="E70" s="2438"/>
      <c r="F70" s="2439"/>
      <c r="G70" s="2439"/>
      <c r="H70" s="2439"/>
      <c r="I70" s="2439"/>
      <c r="J70" s="2439"/>
      <c r="K70" s="2439"/>
      <c r="L70" s="2439"/>
      <c r="M70" s="2439"/>
      <c r="N70" s="2439"/>
      <c r="O70" s="2439"/>
      <c r="P70" s="2439"/>
      <c r="Q70" s="2439"/>
      <c r="R70" s="2439"/>
      <c r="S70" s="2439"/>
      <c r="T70" s="2439"/>
      <c r="U70" s="2439"/>
      <c r="V70" s="2439"/>
      <c r="W70" s="2439"/>
      <c r="X70" s="2439"/>
      <c r="Y70" s="2439"/>
      <c r="Z70" s="2439"/>
      <c r="AA70" s="2439"/>
      <c r="AB70" s="2439"/>
      <c r="AC70" s="2439"/>
      <c r="AD70" s="2439"/>
      <c r="AE70" s="2439"/>
      <c r="AF70" s="2439"/>
      <c r="AG70" s="2439"/>
      <c r="AH70" s="2439"/>
      <c r="AI70" s="2439"/>
      <c r="AJ70" s="2440"/>
      <c r="AK70" s="539"/>
      <c r="AL70" s="536"/>
      <c r="AM70" s="536"/>
      <c r="AN70" s="531"/>
      <c r="AO70" s="544">
        <f>IF($B81="yes",10,0)</f>
        <v>0</v>
      </c>
    </row>
    <row r="71" spans="1:42" s="532" customFormat="1" ht="12.75" customHeight="1">
      <c r="A71" s="534"/>
      <c r="B71" s="536"/>
      <c r="C71" s="536"/>
      <c r="D71" s="545"/>
      <c r="E71" s="2422"/>
      <c r="F71" s="2423"/>
      <c r="G71" s="2423"/>
      <c r="H71" s="2423"/>
      <c r="I71" s="2423"/>
      <c r="J71" s="2423"/>
      <c r="K71" s="2423"/>
      <c r="L71" s="2423"/>
      <c r="M71" s="2423"/>
      <c r="N71" s="2423"/>
      <c r="O71" s="2423"/>
      <c r="P71" s="2423"/>
      <c r="Q71" s="2423"/>
      <c r="R71" s="2423"/>
      <c r="S71" s="2423"/>
      <c r="T71" s="2423"/>
      <c r="U71" s="2423"/>
      <c r="V71" s="2423"/>
      <c r="W71" s="2423"/>
      <c r="X71" s="2423"/>
      <c r="Y71" s="2423"/>
      <c r="Z71" s="2423"/>
      <c r="AA71" s="2423"/>
      <c r="AB71" s="2423"/>
      <c r="AC71" s="2423"/>
      <c r="AD71" s="2423"/>
      <c r="AE71" s="2423"/>
      <c r="AF71" s="2423"/>
      <c r="AG71" s="2423"/>
      <c r="AH71" s="2423"/>
      <c r="AI71" s="2423"/>
      <c r="AJ71" s="2424"/>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9" t="s">
        <v>543</v>
      </c>
      <c r="C73" s="2409"/>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1" t="s">
        <v>543</v>
      </c>
      <c r="F74" s="2409"/>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5" t="s">
        <v>589</v>
      </c>
      <c r="F75" s="2436"/>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5" t="s">
        <v>589</v>
      </c>
      <c r="F76" s="2436"/>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9" t="s">
        <v>589</v>
      </c>
      <c r="C78" s="2409"/>
      <c r="D78" s="541" t="s">
        <v>1311</v>
      </c>
      <c r="E78" s="2425" t="s">
        <v>1725</v>
      </c>
      <c r="F78" s="2426"/>
      <c r="G78" s="2426"/>
      <c r="H78" s="2426"/>
      <c r="I78" s="2426"/>
      <c r="J78" s="2426"/>
      <c r="K78" s="2426"/>
      <c r="L78" s="2426"/>
      <c r="M78" s="2426"/>
      <c r="N78" s="2426"/>
      <c r="O78" s="2426"/>
      <c r="P78" s="2426"/>
      <c r="Q78" s="2426"/>
      <c r="R78" s="2426"/>
      <c r="S78" s="2426"/>
      <c r="T78" s="2426"/>
      <c r="U78" s="2426"/>
      <c r="V78" s="2426"/>
      <c r="W78" s="2426"/>
      <c r="X78" s="2426"/>
      <c r="Y78" s="2426"/>
      <c r="Z78" s="2426"/>
      <c r="AA78" s="2426"/>
      <c r="AB78" s="2426"/>
      <c r="AC78" s="2426"/>
      <c r="AD78" s="2426"/>
      <c r="AE78" s="2426"/>
      <c r="AF78" s="2426"/>
      <c r="AG78" s="2426"/>
      <c r="AH78" s="2426"/>
      <c r="AI78" s="2426"/>
      <c r="AJ78" s="2427"/>
      <c r="AK78" s="539"/>
      <c r="AL78" s="536"/>
      <c r="AM78" s="536"/>
      <c r="AN78" s="531"/>
    </row>
    <row r="79" spans="1:42" s="532" customFormat="1" ht="12.75" customHeight="1">
      <c r="A79" s="534"/>
      <c r="B79" s="536"/>
      <c r="C79" s="536"/>
      <c r="E79" s="2428"/>
      <c r="F79" s="2429"/>
      <c r="G79" s="2429"/>
      <c r="H79" s="2429"/>
      <c r="I79" s="2429"/>
      <c r="J79" s="2429"/>
      <c r="K79" s="2429"/>
      <c r="L79" s="2429"/>
      <c r="M79" s="2429"/>
      <c r="N79" s="2429"/>
      <c r="O79" s="2429"/>
      <c r="P79" s="2429"/>
      <c r="Q79" s="2429"/>
      <c r="R79" s="2429"/>
      <c r="S79" s="2429"/>
      <c r="T79" s="2429"/>
      <c r="U79" s="2429"/>
      <c r="V79" s="2429"/>
      <c r="W79" s="2429"/>
      <c r="X79" s="2429"/>
      <c r="Y79" s="2429"/>
      <c r="Z79" s="2429"/>
      <c r="AA79" s="2429"/>
      <c r="AB79" s="2429"/>
      <c r="AC79" s="2429"/>
      <c r="AD79" s="2429"/>
      <c r="AE79" s="2429"/>
      <c r="AF79" s="2429"/>
      <c r="AG79" s="2429"/>
      <c r="AH79" s="2429"/>
      <c r="AI79" s="2429"/>
      <c r="AJ79" s="2430"/>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09" t="s">
        <v>589</v>
      </c>
      <c r="C81" s="2409"/>
      <c r="D81" s="541" t="s">
        <v>1458</v>
      </c>
      <c r="E81" s="2416" t="s">
        <v>1723</v>
      </c>
      <c r="F81" s="2417"/>
      <c r="G81" s="2417"/>
      <c r="H81" s="2417"/>
      <c r="I81" s="2417"/>
      <c r="J81" s="2417"/>
      <c r="K81" s="2417"/>
      <c r="L81" s="2417"/>
      <c r="M81" s="2417"/>
      <c r="N81" s="2417"/>
      <c r="O81" s="2417"/>
      <c r="P81" s="2417"/>
      <c r="Q81" s="2417"/>
      <c r="R81" s="2417"/>
      <c r="S81" s="2417"/>
      <c r="T81" s="2417"/>
      <c r="U81" s="2417"/>
      <c r="V81" s="2417"/>
      <c r="W81" s="2417"/>
      <c r="X81" s="2417"/>
      <c r="Y81" s="2417"/>
      <c r="Z81" s="2417"/>
      <c r="AA81" s="2417"/>
      <c r="AB81" s="2417"/>
      <c r="AC81" s="2417"/>
      <c r="AD81" s="2417"/>
      <c r="AE81" s="2417"/>
      <c r="AF81" s="2417"/>
      <c r="AG81" s="2417"/>
      <c r="AH81" s="2417"/>
      <c r="AI81" s="2417"/>
      <c r="AJ81" s="2418"/>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448">
        <f>IF(AK61&gt;0,0,AO71)</f>
        <v>10</v>
      </c>
      <c r="AL83" s="2449"/>
      <c r="AM83" s="2450"/>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7" t="s">
        <v>1300</v>
      </c>
      <c r="AF86" s="2437"/>
      <c r="AG86" s="2437"/>
      <c r="AH86" s="2437"/>
      <c r="AI86" s="2437"/>
      <c r="AJ86" s="2437"/>
      <c r="AK86" s="2437"/>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9" t="s">
        <v>589</v>
      </c>
      <c r="C89" s="2409"/>
      <c r="D89" s="541" t="s">
        <v>1306</v>
      </c>
      <c r="E89" s="2419" t="s">
        <v>1316</v>
      </c>
      <c r="F89" s="2420"/>
      <c r="G89" s="2420"/>
      <c r="H89" s="2420"/>
      <c r="I89" s="2420"/>
      <c r="J89" s="2420"/>
      <c r="K89" s="2420"/>
      <c r="L89" s="2420"/>
      <c r="M89" s="2420"/>
      <c r="N89" s="2420"/>
      <c r="O89" s="2420"/>
      <c r="P89" s="2420"/>
      <c r="Q89" s="2420"/>
      <c r="R89" s="2420"/>
      <c r="S89" s="2420"/>
      <c r="T89" s="2420"/>
      <c r="U89" s="2420"/>
      <c r="V89" s="2420"/>
      <c r="W89" s="2420"/>
      <c r="X89" s="2420"/>
      <c r="Y89" s="2420"/>
      <c r="Z89" s="2420"/>
      <c r="AA89" s="2420"/>
      <c r="AB89" s="2420"/>
      <c r="AC89" s="2420"/>
      <c r="AD89" s="2420"/>
      <c r="AE89" s="2420"/>
      <c r="AF89" s="2420"/>
      <c r="AG89" s="2420"/>
      <c r="AH89" s="2420"/>
      <c r="AI89" s="2420"/>
      <c r="AJ89" s="2421"/>
      <c r="AK89" s="539"/>
      <c r="AL89" s="536"/>
      <c r="AM89" s="536"/>
      <c r="AN89" s="531"/>
    </row>
    <row r="90" spans="1:43" s="532" customFormat="1" ht="12.75" customHeight="1">
      <c r="A90" s="534"/>
      <c r="B90" s="535"/>
      <c r="C90" s="535"/>
      <c r="D90" s="535"/>
      <c r="E90" s="2438"/>
      <c r="F90" s="2439"/>
      <c r="G90" s="2439"/>
      <c r="H90" s="2439"/>
      <c r="I90" s="2439"/>
      <c r="J90" s="2439"/>
      <c r="K90" s="2439"/>
      <c r="L90" s="2439"/>
      <c r="M90" s="2439"/>
      <c r="N90" s="2439"/>
      <c r="O90" s="2439"/>
      <c r="P90" s="2439"/>
      <c r="Q90" s="2439"/>
      <c r="R90" s="2439"/>
      <c r="S90" s="2439"/>
      <c r="T90" s="2439"/>
      <c r="U90" s="2439"/>
      <c r="V90" s="2439"/>
      <c r="W90" s="2439"/>
      <c r="X90" s="2439"/>
      <c r="Y90" s="2439"/>
      <c r="Z90" s="2439"/>
      <c r="AA90" s="2439"/>
      <c r="AB90" s="2439"/>
      <c r="AC90" s="2439"/>
      <c r="AD90" s="2439"/>
      <c r="AE90" s="2439"/>
      <c r="AF90" s="2439"/>
      <c r="AG90" s="2439"/>
      <c r="AH90" s="2439"/>
      <c r="AI90" s="2439"/>
      <c r="AJ90" s="2440"/>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1">
        <f>Application!AC761</f>
        <v>0.57589285714285721</v>
      </c>
      <c r="F92" s="2432"/>
      <c r="G92" s="2432"/>
      <c r="H92" s="2432"/>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3">
        <f>0.6-ROUNDUP(E92,2)</f>
        <v>2.0000000000000018E-2</v>
      </c>
      <c r="F93" s="2434"/>
      <c r="G93" s="2434"/>
      <c r="H93" s="2434"/>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0">
        <f>IF(E93*200&gt;20,20,E93*200)</f>
        <v>4.0000000000000036</v>
      </c>
      <c r="F94" s="2461"/>
      <c r="G94" s="2461"/>
      <c r="H94" s="2461"/>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9" t="s">
        <v>543</v>
      </c>
      <c r="C97" s="2409"/>
      <c r="D97" s="541" t="s">
        <v>1308</v>
      </c>
      <c r="E97" s="2419" t="s">
        <v>1711</v>
      </c>
      <c r="F97" s="2420"/>
      <c r="G97" s="2420"/>
      <c r="H97" s="2420"/>
      <c r="I97" s="2420"/>
      <c r="J97" s="2420"/>
      <c r="K97" s="2420"/>
      <c r="L97" s="2420"/>
      <c r="M97" s="2420"/>
      <c r="N97" s="2420"/>
      <c r="O97" s="2420"/>
      <c r="P97" s="2420"/>
      <c r="Q97" s="2420"/>
      <c r="R97" s="2420"/>
      <c r="S97" s="2420"/>
      <c r="T97" s="2420"/>
      <c r="U97" s="2420"/>
      <c r="V97" s="2420"/>
      <c r="W97" s="2420"/>
      <c r="X97" s="2420"/>
      <c r="Y97" s="2420"/>
      <c r="Z97" s="2420"/>
      <c r="AA97" s="2420"/>
      <c r="AB97" s="2420"/>
      <c r="AC97" s="2420"/>
      <c r="AD97" s="2420"/>
      <c r="AE97" s="2420"/>
      <c r="AF97" s="2420"/>
      <c r="AG97" s="2420"/>
      <c r="AH97" s="2420"/>
      <c r="AI97" s="2420"/>
      <c r="AJ97" s="2421"/>
      <c r="AK97" s="539"/>
      <c r="AL97" s="536"/>
      <c r="AM97" s="536"/>
      <c r="AN97" s="531"/>
    </row>
    <row r="98" spans="1:47" s="532" customFormat="1" ht="12.75" customHeight="1">
      <c r="A98" s="534"/>
      <c r="B98" s="535"/>
      <c r="C98" s="535"/>
      <c r="D98" s="535"/>
      <c r="E98" s="2438"/>
      <c r="F98" s="2439"/>
      <c r="G98" s="2439"/>
      <c r="H98" s="2439"/>
      <c r="I98" s="2439"/>
      <c r="J98" s="2439"/>
      <c r="K98" s="2439"/>
      <c r="L98" s="2439"/>
      <c r="M98" s="2439"/>
      <c r="N98" s="2439"/>
      <c r="O98" s="2439"/>
      <c r="P98" s="2439"/>
      <c r="Q98" s="2439"/>
      <c r="R98" s="2439"/>
      <c r="S98" s="2439"/>
      <c r="T98" s="2439"/>
      <c r="U98" s="2439"/>
      <c r="V98" s="2439"/>
      <c r="W98" s="2439"/>
      <c r="X98" s="2439"/>
      <c r="Y98" s="2439"/>
      <c r="Z98" s="2439"/>
      <c r="AA98" s="2439"/>
      <c r="AB98" s="2439"/>
      <c r="AC98" s="2439"/>
      <c r="AD98" s="2439"/>
      <c r="AE98" s="2439"/>
      <c r="AF98" s="2439"/>
      <c r="AG98" s="2439"/>
      <c r="AH98" s="2439"/>
      <c r="AI98" s="2439"/>
      <c r="AJ98" s="2440"/>
      <c r="AK98" s="539"/>
      <c r="AL98" s="536"/>
      <c r="AM98" s="536"/>
      <c r="AN98" s="531"/>
    </row>
    <row r="99" spans="1:47" s="532" customFormat="1" ht="12.75" customHeight="1">
      <c r="A99" s="534"/>
      <c r="B99" s="535"/>
      <c r="C99" s="535"/>
      <c r="D99" s="535"/>
      <c r="E99" s="2438"/>
      <c r="F99" s="2439"/>
      <c r="G99" s="2439"/>
      <c r="H99" s="2439"/>
      <c r="I99" s="2439"/>
      <c r="J99" s="2439"/>
      <c r="K99" s="2439"/>
      <c r="L99" s="2439"/>
      <c r="M99" s="2439"/>
      <c r="N99" s="2439"/>
      <c r="O99" s="2439"/>
      <c r="P99" s="2439"/>
      <c r="Q99" s="2439"/>
      <c r="R99" s="2439"/>
      <c r="S99" s="2439"/>
      <c r="T99" s="2439"/>
      <c r="U99" s="2439"/>
      <c r="V99" s="2439"/>
      <c r="W99" s="2439"/>
      <c r="X99" s="2439"/>
      <c r="Y99" s="2439"/>
      <c r="Z99" s="2439"/>
      <c r="AA99" s="2439"/>
      <c r="AB99" s="2439"/>
      <c r="AC99" s="2439"/>
      <c r="AD99" s="2439"/>
      <c r="AE99" s="2439"/>
      <c r="AF99" s="2439"/>
      <c r="AG99" s="2439"/>
      <c r="AH99" s="2439"/>
      <c r="AI99" s="2439"/>
      <c r="AJ99" s="2440"/>
      <c r="AK99" s="539"/>
      <c r="AL99" s="536"/>
      <c r="AM99" s="536"/>
      <c r="AN99" s="531"/>
    </row>
    <row r="100" spans="1:47" s="532" customFormat="1" ht="12.75" customHeight="1">
      <c r="A100" s="534"/>
      <c r="B100" s="535"/>
      <c r="C100" s="535"/>
      <c r="D100" s="535"/>
      <c r="E100" s="2438"/>
      <c r="F100" s="2439"/>
      <c r="G100" s="2439"/>
      <c r="H100" s="2439"/>
      <c r="I100" s="2439"/>
      <c r="J100" s="2439"/>
      <c r="K100" s="2439"/>
      <c r="L100" s="2439"/>
      <c r="M100" s="2439"/>
      <c r="N100" s="2439"/>
      <c r="O100" s="2439"/>
      <c r="P100" s="2439"/>
      <c r="Q100" s="2439"/>
      <c r="R100" s="2439"/>
      <c r="S100" s="2439"/>
      <c r="T100" s="2439"/>
      <c r="U100" s="2439"/>
      <c r="V100" s="2439"/>
      <c r="W100" s="2439"/>
      <c r="X100" s="2439"/>
      <c r="Y100" s="2439"/>
      <c r="Z100" s="2439"/>
      <c r="AA100" s="2439"/>
      <c r="AB100" s="2439"/>
      <c r="AC100" s="2439"/>
      <c r="AD100" s="2439"/>
      <c r="AE100" s="2439"/>
      <c r="AF100" s="2439"/>
      <c r="AG100" s="2439"/>
      <c r="AH100" s="2439"/>
      <c r="AI100" s="2439"/>
      <c r="AJ100" s="2440"/>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1">
        <f>Application!AC761</f>
        <v>0.57589285714285721</v>
      </c>
      <c r="F102" s="2432"/>
      <c r="G102" s="2432"/>
      <c r="H102" s="2432"/>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1">
        <f ca="1">SUMIF(Application!AC726:AG760,0.2,Application!G726:J760)/Application!G761+SUMIF(Application!AC726:AG760,0.25,Application!G726:J760)/Application!G761+SUMIF(Application!AC726:AG760,0.3,Application!G726:J760)/Application!G761</f>
        <v>0.11607142857142858</v>
      </c>
      <c r="F103" s="2432"/>
      <c r="G103" s="2432"/>
      <c r="H103" s="2432"/>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1">
        <f ca="1">SUMIF(Application!AC726:AG760,0.35,Application!G726:J760)/Application!G761+SUMIF(Application!AC726:AG760,0.4,Application!G726:J760)/Application!G761+SUMIF(Application!AC726:AG760,0.45,Application!G726:J760)/Application!G761+SUMIF(Application!AC726:AG760,0.5,Application!G726:J760)/Application!G761</f>
        <v>0.11607142857142858</v>
      </c>
      <c r="F104" s="2432"/>
      <c r="G104" s="2432"/>
      <c r="H104" s="2432"/>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6">
        <f ca="1">IF(AND(E102&lt;=0.6,OR(AND(E103&gt;=0.1,E104&gt;=0.1),AND(E103&gt;0.1,(E103+E104)&gt;=0.2))),20,0)</f>
        <v>20</v>
      </c>
      <c r="F105" s="2467"/>
      <c r="G105" s="2467"/>
      <c r="H105" s="2467"/>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448">
        <f ca="1">MAX(AP94,AP105)</f>
        <v>20</v>
      </c>
      <c r="AL108" s="2449"/>
      <c r="AM108" s="2450"/>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7" t="s">
        <v>1305</v>
      </c>
      <c r="AF111" s="2437"/>
      <c r="AG111" s="2437"/>
      <c r="AH111" s="2437"/>
      <c r="AI111" s="2437"/>
      <c r="AJ111" s="2437"/>
      <c r="AK111" s="2437"/>
      <c r="AL111" s="536"/>
      <c r="AM111" s="536"/>
      <c r="AN111" s="531"/>
      <c r="AO111" s="532" t="str">
        <f>Application!B726</f>
        <v>1 Bedroom</v>
      </c>
      <c r="AQ111" s="532">
        <f>Application!O726</f>
        <v>2456</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2250</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1864</v>
      </c>
    </row>
    <row r="114" spans="1:52" s="532" customFormat="1" ht="12.75" customHeight="1">
      <c r="A114" s="536"/>
      <c r="B114" s="2409" t="s">
        <v>543</v>
      </c>
      <c r="C114" s="2409"/>
      <c r="D114" s="541" t="s">
        <v>1306</v>
      </c>
      <c r="E114" s="2419" t="s">
        <v>2555</v>
      </c>
      <c r="F114" s="2420"/>
      <c r="G114" s="2420"/>
      <c r="H114" s="2420"/>
      <c r="I114" s="2420"/>
      <c r="J114" s="2420"/>
      <c r="K114" s="2420"/>
      <c r="L114" s="2420"/>
      <c r="M114" s="2420"/>
      <c r="N114" s="2420"/>
      <c r="O114" s="2420"/>
      <c r="P114" s="2420"/>
      <c r="Q114" s="2420"/>
      <c r="R114" s="2420"/>
      <c r="S114" s="2420"/>
      <c r="T114" s="2420"/>
      <c r="U114" s="2420"/>
      <c r="V114" s="2420"/>
      <c r="W114" s="2420"/>
      <c r="X114" s="2420"/>
      <c r="Y114" s="2420"/>
      <c r="Z114" s="2420"/>
      <c r="AA114" s="2420"/>
      <c r="AB114" s="2420"/>
      <c r="AC114" s="2420"/>
      <c r="AD114" s="2420"/>
      <c r="AE114" s="2420"/>
      <c r="AF114" s="2420"/>
      <c r="AG114" s="2420"/>
      <c r="AH114" s="2420"/>
      <c r="AI114" s="2420"/>
      <c r="AJ114" s="2421"/>
      <c r="AK114" s="536"/>
      <c r="AL114" s="536"/>
      <c r="AM114" s="536"/>
      <c r="AN114" s="531"/>
      <c r="AO114" s="532" t="str">
        <f>Application!B729</f>
        <v>1 Bedroom</v>
      </c>
      <c r="AQ114" s="532">
        <f>Application!O729</f>
        <v>1094</v>
      </c>
      <c r="AU114" s="532" t="s">
        <v>1809</v>
      </c>
      <c r="AV114" s="588" t="s">
        <v>1810</v>
      </c>
      <c r="AW114" s="532" t="s">
        <v>1811</v>
      </c>
    </row>
    <row r="115" spans="1:52" s="532" customFormat="1" ht="12.75" customHeight="1">
      <c r="A115" s="536"/>
      <c r="B115" s="535"/>
      <c r="C115" s="535"/>
      <c r="D115" s="535"/>
      <c r="E115" s="2438"/>
      <c r="F115" s="2439"/>
      <c r="G115" s="2439"/>
      <c r="H115" s="2439"/>
      <c r="I115" s="2439"/>
      <c r="J115" s="2439"/>
      <c r="K115" s="2439"/>
      <c r="L115" s="2439"/>
      <c r="M115" s="2439"/>
      <c r="N115" s="2439"/>
      <c r="O115" s="2439"/>
      <c r="P115" s="2439"/>
      <c r="Q115" s="2439"/>
      <c r="R115" s="2439"/>
      <c r="S115" s="2439"/>
      <c r="T115" s="2439"/>
      <c r="U115" s="2439"/>
      <c r="V115" s="2439"/>
      <c r="W115" s="2439"/>
      <c r="X115" s="2439"/>
      <c r="Y115" s="2439"/>
      <c r="Z115" s="2439"/>
      <c r="AA115" s="2439"/>
      <c r="AB115" s="2439"/>
      <c r="AC115" s="2439"/>
      <c r="AD115" s="2439"/>
      <c r="AE115" s="2439"/>
      <c r="AF115" s="2439"/>
      <c r="AG115" s="2439"/>
      <c r="AH115" s="2439"/>
      <c r="AI115" s="2439"/>
      <c r="AJ115" s="2440"/>
      <c r="AK115" s="536"/>
      <c r="AL115" s="536"/>
      <c r="AM115" s="536"/>
      <c r="AN115" s="531"/>
      <c r="AO115" s="532" t="str">
        <f>Application!B730</f>
        <v>2 Bedrooms</v>
      </c>
      <c r="AQ115" s="532">
        <f>Application!O730</f>
        <v>2671</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38"/>
      <c r="F116" s="2439"/>
      <c r="G116" s="2439"/>
      <c r="H116" s="2439"/>
      <c r="I116" s="2439"/>
      <c r="J116" s="2439"/>
      <c r="K116" s="2439"/>
      <c r="L116" s="2439"/>
      <c r="M116" s="2439"/>
      <c r="N116" s="2439"/>
      <c r="O116" s="2439"/>
      <c r="P116" s="2439"/>
      <c r="Q116" s="2439"/>
      <c r="R116" s="2439"/>
      <c r="S116" s="2439"/>
      <c r="T116" s="2439"/>
      <c r="U116" s="2439"/>
      <c r="V116" s="2439"/>
      <c r="W116" s="2439"/>
      <c r="X116" s="2439"/>
      <c r="Y116" s="2439"/>
      <c r="Z116" s="2439"/>
      <c r="AA116" s="2439"/>
      <c r="AB116" s="2439"/>
      <c r="AC116" s="2439"/>
      <c r="AD116" s="2439"/>
      <c r="AE116" s="2439"/>
      <c r="AF116" s="2439"/>
      <c r="AG116" s="2439"/>
      <c r="AH116" s="2439"/>
      <c r="AI116" s="2439"/>
      <c r="AJ116" s="2440"/>
      <c r="AK116" s="536"/>
      <c r="AL116" s="536"/>
      <c r="AM116" s="536"/>
      <c r="AN116" s="531"/>
      <c r="AO116" s="532" t="str">
        <f>Application!B731</f>
        <v>2 Bedrooms</v>
      </c>
      <c r="AQ116" s="532">
        <f>Application!O731</f>
        <v>2671</v>
      </c>
      <c r="AU116" s="847" t="str">
        <f>J123</f>
        <v>1-bedroom</v>
      </c>
      <c r="AV116" s="532">
        <f t="array" ref="AV116">SUM(IF(Application!B726:F760="1 Bedroom",Application!G726:J760))</f>
        <v>15</v>
      </c>
      <c r="AW116" s="1001">
        <f>AV116/AV121</f>
        <v>0.13392857142857142</v>
      </c>
    </row>
    <row r="117" spans="1:52" s="532" customFormat="1" ht="12.75" customHeight="1">
      <c r="A117" s="536"/>
      <c r="B117" s="535"/>
      <c r="C117" s="535"/>
      <c r="D117" s="535"/>
      <c r="E117" s="2438"/>
      <c r="F117" s="2439"/>
      <c r="G117" s="2439"/>
      <c r="H117" s="2439"/>
      <c r="I117" s="2439"/>
      <c r="J117" s="2439"/>
      <c r="K117" s="2439"/>
      <c r="L117" s="2439"/>
      <c r="M117" s="2439"/>
      <c r="N117" s="2439"/>
      <c r="O117" s="2439"/>
      <c r="P117" s="2439"/>
      <c r="Q117" s="2439"/>
      <c r="R117" s="2439"/>
      <c r="S117" s="2439"/>
      <c r="T117" s="2439"/>
      <c r="U117" s="2439"/>
      <c r="V117" s="2439"/>
      <c r="W117" s="2439"/>
      <c r="X117" s="2439"/>
      <c r="Y117" s="2439"/>
      <c r="Z117" s="2439"/>
      <c r="AA117" s="2439"/>
      <c r="AB117" s="2439"/>
      <c r="AC117" s="2439"/>
      <c r="AD117" s="2439"/>
      <c r="AE117" s="2439"/>
      <c r="AF117" s="2439"/>
      <c r="AG117" s="2439"/>
      <c r="AH117" s="2439"/>
      <c r="AI117" s="2439"/>
      <c r="AJ117" s="2440"/>
      <c r="AK117" s="536"/>
      <c r="AL117" s="536"/>
      <c r="AM117" s="536"/>
      <c r="AN117" s="531"/>
      <c r="AO117" s="532" t="str">
        <f>Application!B732</f>
        <v>2 Bedrooms</v>
      </c>
      <c r="AQ117" s="532">
        <f>Application!O732</f>
        <v>2228</v>
      </c>
      <c r="AU117" s="847" t="str">
        <f>O123</f>
        <v>2-bedroom</v>
      </c>
      <c r="AV117" s="532">
        <f t="array" ref="AV117">SUM(IF(Application!B726:F760="2 Bedrooms",Application!G726:J760))</f>
        <v>44</v>
      </c>
      <c r="AW117" s="1001">
        <f>AV117/AV121</f>
        <v>0.39285714285714285</v>
      </c>
    </row>
    <row r="118" spans="1:52" s="532" customFormat="1" ht="12.75" customHeight="1">
      <c r="A118" s="536"/>
      <c r="B118" s="535"/>
      <c r="C118" s="535"/>
      <c r="D118" s="535"/>
      <c r="E118" s="2438"/>
      <c r="F118" s="2439"/>
      <c r="G118" s="2439"/>
      <c r="H118" s="2439"/>
      <c r="I118" s="2439"/>
      <c r="J118" s="2439"/>
      <c r="K118" s="2439"/>
      <c r="L118" s="2439"/>
      <c r="M118" s="2439"/>
      <c r="N118" s="2439"/>
      <c r="O118" s="2439"/>
      <c r="P118" s="2439"/>
      <c r="Q118" s="2439"/>
      <c r="R118" s="2439"/>
      <c r="S118" s="2439"/>
      <c r="T118" s="2439"/>
      <c r="U118" s="2439"/>
      <c r="V118" s="2439"/>
      <c r="W118" s="2439"/>
      <c r="X118" s="2439"/>
      <c r="Y118" s="2439"/>
      <c r="Z118" s="2439"/>
      <c r="AA118" s="2439"/>
      <c r="AB118" s="2439"/>
      <c r="AC118" s="2439"/>
      <c r="AD118" s="2439"/>
      <c r="AE118" s="2439"/>
      <c r="AF118" s="2439"/>
      <c r="AG118" s="2439"/>
      <c r="AH118" s="2439"/>
      <c r="AI118" s="2439"/>
      <c r="AJ118" s="2440"/>
      <c r="AK118" s="536"/>
      <c r="AL118" s="536"/>
      <c r="AM118" s="536"/>
      <c r="AN118" s="531"/>
      <c r="AO118" s="532" t="str">
        <f>Application!B733</f>
        <v>2 Bedrooms</v>
      </c>
      <c r="AQ118" s="532">
        <f>Application!O733</f>
        <v>1303</v>
      </c>
      <c r="AU118" s="847" t="str">
        <f>T123</f>
        <v>3-bedroom</v>
      </c>
      <c r="AV118" s="532">
        <f t="array" ref="AV118">SUM(IF(Application!B726:F760="3 Bedrooms",Application!G726:J760))</f>
        <v>53</v>
      </c>
      <c r="AW118" s="1001">
        <f>AV118/AV121</f>
        <v>0.4732142857142857</v>
      </c>
    </row>
    <row r="119" spans="1:52" s="532" customFormat="1" ht="12.75" customHeight="1">
      <c r="A119" s="536"/>
      <c r="B119" s="535"/>
      <c r="C119" s="535"/>
      <c r="D119" s="535"/>
      <c r="E119" s="2438"/>
      <c r="F119" s="2439"/>
      <c r="G119" s="2439"/>
      <c r="H119" s="2439"/>
      <c r="I119" s="2439"/>
      <c r="J119" s="2439"/>
      <c r="K119" s="2439"/>
      <c r="L119" s="2439"/>
      <c r="M119" s="2439"/>
      <c r="N119" s="2439"/>
      <c r="O119" s="2439"/>
      <c r="P119" s="2439"/>
      <c r="Q119" s="2439"/>
      <c r="R119" s="2439"/>
      <c r="S119" s="2439"/>
      <c r="T119" s="2439"/>
      <c r="U119" s="2439"/>
      <c r="V119" s="2439"/>
      <c r="W119" s="2439"/>
      <c r="X119" s="2439"/>
      <c r="Y119" s="2439"/>
      <c r="Z119" s="2439"/>
      <c r="AA119" s="2439"/>
      <c r="AB119" s="2439"/>
      <c r="AC119" s="2439"/>
      <c r="AD119" s="2439"/>
      <c r="AE119" s="2439"/>
      <c r="AF119" s="2439"/>
      <c r="AG119" s="2439"/>
      <c r="AH119" s="2439"/>
      <c r="AI119" s="2439"/>
      <c r="AJ119" s="2440"/>
      <c r="AK119" s="536"/>
      <c r="AL119" s="536"/>
      <c r="AM119" s="536"/>
      <c r="AN119" s="531"/>
      <c r="AO119" s="532" t="str">
        <f>Application!B734</f>
        <v>3 Bedrooms</v>
      </c>
      <c r="AQ119" s="532">
        <f>Application!O734</f>
        <v>3159</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8"/>
      <c r="F120" s="2439"/>
      <c r="G120" s="2439"/>
      <c r="H120" s="2439"/>
      <c r="I120" s="2439"/>
      <c r="J120" s="2439"/>
      <c r="K120" s="2439"/>
      <c r="L120" s="2439"/>
      <c r="M120" s="2439"/>
      <c r="N120" s="2439"/>
      <c r="O120" s="2439"/>
      <c r="P120" s="2439"/>
      <c r="Q120" s="2439"/>
      <c r="R120" s="2439"/>
      <c r="S120" s="2439"/>
      <c r="T120" s="2439"/>
      <c r="U120" s="2439"/>
      <c r="V120" s="2439"/>
      <c r="W120" s="2439"/>
      <c r="X120" s="2439"/>
      <c r="Y120" s="2439"/>
      <c r="Z120" s="2439"/>
      <c r="AA120" s="2439"/>
      <c r="AB120" s="2439"/>
      <c r="AC120" s="2439"/>
      <c r="AD120" s="2439"/>
      <c r="AE120" s="2439"/>
      <c r="AF120" s="2439"/>
      <c r="AG120" s="2439"/>
      <c r="AH120" s="2439"/>
      <c r="AI120" s="2439"/>
      <c r="AJ120" s="2440"/>
      <c r="AK120" s="536"/>
      <c r="AL120" s="536"/>
      <c r="AM120" s="536"/>
      <c r="AN120" s="531"/>
      <c r="AO120" s="532" t="str">
        <f>Application!B735</f>
        <v>3 Bedrooms</v>
      </c>
      <c r="AQ120" s="532">
        <f>Application!O735</f>
        <v>3099</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8"/>
      <c r="F121" s="2439"/>
      <c r="G121" s="2439"/>
      <c r="H121" s="2439"/>
      <c r="I121" s="2439"/>
      <c r="J121" s="2439"/>
      <c r="K121" s="2439"/>
      <c r="L121" s="2439"/>
      <c r="M121" s="2439"/>
      <c r="N121" s="2439"/>
      <c r="O121" s="2439"/>
      <c r="P121" s="2439"/>
      <c r="Q121" s="2439"/>
      <c r="R121" s="2439"/>
      <c r="S121" s="2439"/>
      <c r="T121" s="2439"/>
      <c r="U121" s="2439"/>
      <c r="V121" s="2439"/>
      <c r="W121" s="2439"/>
      <c r="X121" s="2439"/>
      <c r="Y121" s="2439"/>
      <c r="Z121" s="2439"/>
      <c r="AA121" s="2439"/>
      <c r="AB121" s="2439"/>
      <c r="AC121" s="2439"/>
      <c r="AD121" s="2439"/>
      <c r="AE121" s="2439"/>
      <c r="AF121" s="2439"/>
      <c r="AG121" s="2439"/>
      <c r="AH121" s="2439"/>
      <c r="AI121" s="2439"/>
      <c r="AJ121" s="2440"/>
      <c r="AK121" s="536"/>
      <c r="AL121" s="536"/>
      <c r="AM121" s="536"/>
      <c r="AN121" s="531"/>
      <c r="AO121" s="532" t="str">
        <f>Application!B736</f>
        <v>3 Bedrooms</v>
      </c>
      <c r="AQ121" s="532">
        <f>Application!O736</f>
        <v>2564</v>
      </c>
      <c r="AV121" s="532">
        <f>SUM(AV115:AV120)</f>
        <v>112</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3 Bedrooms</v>
      </c>
      <c r="AQ122" s="532">
        <f>Application!O737</f>
        <v>1496</v>
      </c>
    </row>
    <row r="123" spans="1:52" s="532" customFormat="1" ht="12.75" customHeight="1">
      <c r="A123" s="536"/>
      <c r="B123" s="535"/>
      <c r="C123" s="536"/>
      <c r="D123" s="536"/>
      <c r="E123" s="2431" t="s">
        <v>1574</v>
      </c>
      <c r="F123" s="2432"/>
      <c r="G123" s="2432"/>
      <c r="H123" s="2432"/>
      <c r="I123" s="570"/>
      <c r="J123" s="2432" t="s">
        <v>1617</v>
      </c>
      <c r="K123" s="2432"/>
      <c r="L123" s="2432"/>
      <c r="M123" s="2432"/>
      <c r="N123" s="570"/>
      <c r="O123" s="2432" t="s">
        <v>1618</v>
      </c>
      <c r="P123" s="2432"/>
      <c r="Q123" s="2432"/>
      <c r="R123" s="2432"/>
      <c r="S123" s="570"/>
      <c r="T123" s="2432" t="s">
        <v>1325</v>
      </c>
      <c r="U123" s="2432"/>
      <c r="V123" s="2432"/>
      <c r="W123" s="2432"/>
      <c r="X123" s="570"/>
      <c r="Y123" s="2432" t="s">
        <v>1619</v>
      </c>
      <c r="Z123" s="2432"/>
      <c r="AA123" s="2432"/>
      <c r="AB123" s="2432"/>
      <c r="AC123" s="570"/>
      <c r="AD123" s="2432" t="s">
        <v>1620</v>
      </c>
      <c r="AE123" s="2432"/>
      <c r="AF123" s="2432"/>
      <c r="AG123" s="2432"/>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68"/>
      <c r="F126" s="2469"/>
      <c r="G126" s="2469"/>
      <c r="H126" s="2469"/>
      <c r="I126" s="855"/>
      <c r="J126" s="2469">
        <v>2877</v>
      </c>
      <c r="K126" s="2469"/>
      <c r="L126" s="2469"/>
      <c r="M126" s="2469"/>
      <c r="N126" s="855"/>
      <c r="O126" s="2469">
        <v>3210</v>
      </c>
      <c r="P126" s="2469"/>
      <c r="Q126" s="2469"/>
      <c r="R126" s="2469"/>
      <c r="S126" s="855"/>
      <c r="T126" s="2469">
        <v>3860</v>
      </c>
      <c r="U126" s="2469"/>
      <c r="V126" s="2469"/>
      <c r="W126" s="2469"/>
      <c r="X126" s="855"/>
      <c r="Y126" s="2469"/>
      <c r="Z126" s="2469"/>
      <c r="AA126" s="2469"/>
      <c r="AB126" s="2469"/>
      <c r="AC126" s="855"/>
      <c r="AD126" s="2469"/>
      <c r="AE126" s="2469"/>
      <c r="AF126" s="2469"/>
      <c r="AG126" s="2469"/>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2">
        <f>Application!DX678</f>
        <v>0</v>
      </c>
      <c r="F129" s="2443"/>
      <c r="G129" s="2443"/>
      <c r="H129" s="2443"/>
      <c r="I129" s="855"/>
      <c r="J129" s="2443">
        <f>Application!EC678</f>
        <v>2010.2666666666664</v>
      </c>
      <c r="K129" s="2443"/>
      <c r="L129" s="2443"/>
      <c r="M129" s="2443"/>
      <c r="N129" s="855"/>
      <c r="O129" s="2443">
        <f>Application!EH678</f>
        <v>2506.3636363636365</v>
      </c>
      <c r="P129" s="2443"/>
      <c r="Q129" s="2443"/>
      <c r="R129" s="2443"/>
      <c r="S129" s="859"/>
      <c r="T129" s="2443">
        <f>Application!EM678</f>
        <v>2868.2830188679241</v>
      </c>
      <c r="U129" s="2443"/>
      <c r="V129" s="2443"/>
      <c r="W129" s="2443"/>
      <c r="X129" s="859"/>
      <c r="Y129" s="2443">
        <f>Application!ER678</f>
        <v>0</v>
      </c>
      <c r="Z129" s="2443"/>
      <c r="AA129" s="2443"/>
      <c r="AB129" s="2443"/>
      <c r="AC129" s="859"/>
      <c r="AD129" s="2443">
        <f>Application!EW678</f>
        <v>0</v>
      </c>
      <c r="AE129" s="2443"/>
      <c r="AF129" s="2443"/>
      <c r="AG129" s="2443"/>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1" t="e">
        <f>(E126-E129)/E126</f>
        <v>#DIV/0!</v>
      </c>
      <c r="F132" s="2434"/>
      <c r="G132" s="2434"/>
      <c r="H132" s="2642"/>
      <c r="I132" s="570"/>
      <c r="J132" s="2641">
        <f>(J126-J129)/J126</f>
        <v>0.30126288958405756</v>
      </c>
      <c r="K132" s="2434"/>
      <c r="L132" s="2434"/>
      <c r="M132" s="2642"/>
      <c r="N132" s="570"/>
      <c r="O132" s="2641">
        <f>(O126-O129)/O126</f>
        <v>0.21920135938827523</v>
      </c>
      <c r="P132" s="2434"/>
      <c r="Q132" s="2434"/>
      <c r="R132" s="2642"/>
      <c r="S132" s="570"/>
      <c r="T132" s="2641">
        <f>(T126-T129)/T126</f>
        <v>0.25692149770261036</v>
      </c>
      <c r="U132" s="2434"/>
      <c r="V132" s="2434"/>
      <c r="W132" s="2642"/>
      <c r="X132" s="570"/>
      <c r="Y132" s="2641" t="e">
        <f>(Y126-Y129)/Y126</f>
        <v>#DIV/0!</v>
      </c>
      <c r="Z132" s="2434"/>
      <c r="AA132" s="2434"/>
      <c r="AB132" s="2642"/>
      <c r="AC132" s="570"/>
      <c r="AD132" s="2641" t="e">
        <f>(AD126-AD129)/AD126</f>
        <v>#DIV/0!</v>
      </c>
      <c r="AE132" s="2434"/>
      <c r="AF132" s="2434"/>
      <c r="AG132" s="2642"/>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7" t="e">
        <f>IF(((E132-0.1)*AW115)&gt;0,((E132-0.1)*AW115),0)</f>
        <v>#DIV/0!</v>
      </c>
      <c r="F135" s="2458"/>
      <c r="G135" s="2458"/>
      <c r="H135" s="2459"/>
      <c r="I135" s="570"/>
      <c r="J135" s="2457">
        <f>IF(((J132-0.1)*AW116)&gt;0,((J132-0.1)*AW116),0)</f>
        <v>2.6954851283579134E-2</v>
      </c>
      <c r="K135" s="2458"/>
      <c r="L135" s="2458"/>
      <c r="M135" s="2459"/>
      <c r="N135" s="570"/>
      <c r="O135" s="2457">
        <f>IF(((O132-0.1)*AW117)&gt;0,((O132-0.1)*AW117),0)</f>
        <v>4.6829105473965266E-2</v>
      </c>
      <c r="P135" s="2458"/>
      <c r="Q135" s="2458"/>
      <c r="R135" s="2459"/>
      <c r="S135" s="570"/>
      <c r="T135" s="2457">
        <f>IF(((T132-0.1)*AW118)&gt;0,((T132-0.1)*AW118),0)</f>
        <v>7.4257494448556685E-2</v>
      </c>
      <c r="U135" s="2458"/>
      <c r="V135" s="2458"/>
      <c r="W135" s="2459"/>
      <c r="X135" s="570"/>
      <c r="Y135" s="2457" t="e">
        <f>IF(((Y132-0.1)*AW119)&gt;0,((Y132-0.1)*AW119),0)</f>
        <v>#DIV/0!</v>
      </c>
      <c r="Z135" s="2458"/>
      <c r="AA135" s="2458"/>
      <c r="AB135" s="2459"/>
      <c r="AC135" s="570"/>
      <c r="AD135" s="2457" t="e">
        <f>IF(((AD132-0.1)*AW120)&gt;0,((AD132-0.1)*AW120),0)</f>
        <v>#DIV/0!</v>
      </c>
      <c r="AE135" s="2458"/>
      <c r="AF135" s="2458"/>
      <c r="AG135" s="2459"/>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1">
        <f>ROUNDDOWN(SUMIF(E135:AG135,"&gt;0"),2)</f>
        <v>0.14000000000000001</v>
      </c>
      <c r="F137" s="2434"/>
      <c r="G137" s="2434"/>
      <c r="H137" s="2642"/>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8">
        <f>IF((E137*100)&gt;10,10,E137*100)</f>
        <v>10</v>
      </c>
      <c r="F138" s="2449"/>
      <c r="G138" s="2449"/>
      <c r="H138" s="2450"/>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448">
        <f>E138</f>
        <v>10</v>
      </c>
      <c r="AL142" s="2449"/>
      <c r="AM142" s="2450"/>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37" t="s">
        <v>1305</v>
      </c>
      <c r="AF145" s="2437"/>
      <c r="AG145" s="2437"/>
      <c r="AH145" s="2437"/>
      <c r="AI145" s="2437"/>
      <c r="AJ145" s="2437"/>
      <c r="AK145" s="2437"/>
      <c r="AL145" s="584"/>
      <c r="AN145" s="585"/>
      <c r="AO145" s="532"/>
    </row>
    <row r="146" spans="1:42" s="535" customFormat="1" ht="12.9"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0" t="s">
        <v>1329</v>
      </c>
      <c r="AG147" s="2470"/>
      <c r="AH147" s="2470"/>
      <c r="AI147" s="2470"/>
      <c r="AJ147" s="2470"/>
      <c r="AK147" s="2470"/>
      <c r="AL147" s="2470"/>
      <c r="AM147" s="535"/>
      <c r="AN147" s="531"/>
    </row>
    <row r="148" spans="1:42" s="532" customFormat="1" ht="12.75" customHeight="1">
      <c r="A148" s="534"/>
      <c r="B148" s="534" t="s">
        <v>530</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0" t="s">
        <v>2683</v>
      </c>
      <c r="C149" s="2480"/>
      <c r="D149" s="2480"/>
      <c r="E149" s="2480"/>
      <c r="F149" s="2480"/>
      <c r="G149" s="2480"/>
      <c r="H149" s="2480"/>
      <c r="I149" s="2480"/>
      <c r="J149" s="2480"/>
      <c r="K149" s="2480"/>
      <c r="L149" s="2480"/>
      <c r="M149" s="2480"/>
      <c r="N149" s="2480"/>
      <c r="O149" s="2480"/>
      <c r="P149" s="2480"/>
      <c r="Q149" s="2480"/>
      <c r="R149" s="2480"/>
      <c r="S149" s="2480"/>
      <c r="T149" s="2480"/>
      <c r="U149" s="2480"/>
      <c r="V149" s="2480"/>
      <c r="W149" s="2480"/>
      <c r="X149" s="2480"/>
      <c r="Y149" s="2480"/>
      <c r="Z149" s="2480"/>
      <c r="AA149" s="2480"/>
      <c r="AB149" s="2480"/>
      <c r="AC149" s="2480"/>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481" t="s">
        <v>1332</v>
      </c>
      <c r="C152" s="2481"/>
      <c r="D152" s="2481"/>
      <c r="E152" s="2481"/>
      <c r="F152" s="2481"/>
      <c r="G152" s="2481"/>
      <c r="H152" s="2481"/>
      <c r="I152" s="2481"/>
      <c r="J152" s="2481"/>
      <c r="K152" s="2481"/>
      <c r="L152" s="2481"/>
      <c r="M152" s="2481"/>
      <c r="N152" s="2481"/>
      <c r="O152" s="2481"/>
      <c r="P152" s="2481"/>
      <c r="Q152" s="2481"/>
      <c r="R152" s="2481"/>
      <c r="S152" s="2481"/>
      <c r="T152" s="2481"/>
      <c r="U152" s="2481"/>
      <c r="V152" s="2481"/>
      <c r="W152" s="2481"/>
      <c r="X152" s="2481"/>
      <c r="Y152" s="2481"/>
      <c r="Z152" s="2481"/>
      <c r="AA152" s="2481"/>
      <c r="AB152" s="2481"/>
      <c r="AC152" s="2481"/>
      <c r="AD152" s="2481"/>
      <c r="AE152" s="2481"/>
      <c r="AF152" s="2481"/>
      <c r="AG152" s="2481"/>
      <c r="AH152" s="2481"/>
      <c r="AI152" s="2481"/>
      <c r="AM152" s="535"/>
      <c r="AN152" s="531"/>
      <c r="AO152" s="472" t="s">
        <v>1332</v>
      </c>
      <c r="AP152" s="485">
        <v>7</v>
      </c>
    </row>
    <row r="153" spans="1:42" s="532" customFormat="1" ht="12.9"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1333</v>
      </c>
      <c r="AB154" s="2482" t="s">
        <v>589</v>
      </c>
      <c r="AC154" s="2482"/>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481" t="s">
        <v>1334</v>
      </c>
      <c r="C157" s="2481"/>
      <c r="D157" s="2481"/>
      <c r="E157" s="2481"/>
      <c r="F157" s="2481"/>
      <c r="G157" s="2481"/>
      <c r="H157" s="2481"/>
      <c r="I157" s="2481"/>
      <c r="J157" s="2481"/>
      <c r="K157" s="2481"/>
      <c r="L157" s="2481"/>
      <c r="M157" s="2481"/>
      <c r="N157" s="2481"/>
      <c r="O157" s="2481"/>
      <c r="P157" s="2481"/>
      <c r="Q157" s="2481"/>
      <c r="R157" s="2481"/>
      <c r="S157" s="2481"/>
      <c r="T157" s="2481"/>
      <c r="U157" s="2481"/>
      <c r="V157" s="2481"/>
      <c r="W157" s="2481"/>
      <c r="X157" s="2481"/>
      <c r="Y157" s="2481"/>
      <c r="Z157" s="2481"/>
      <c r="AA157" s="2481"/>
      <c r="AB157" s="2481"/>
      <c r="AC157" s="2481"/>
      <c r="AD157" s="2481"/>
      <c r="AE157" s="2481"/>
      <c r="AF157" s="2481"/>
      <c r="AG157" s="2481"/>
      <c r="AH157" s="2481"/>
      <c r="AI157" s="2481"/>
      <c r="AJ157" s="2481"/>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6" t="s">
        <v>2398</v>
      </c>
      <c r="C160" s="2646"/>
      <c r="D160" s="2646"/>
      <c r="E160" s="2646"/>
      <c r="F160" s="2646"/>
      <c r="G160" s="2646"/>
      <c r="H160" s="2646"/>
      <c r="I160" s="2646"/>
      <c r="J160" s="2646"/>
      <c r="K160" s="2646"/>
      <c r="L160" s="2646"/>
      <c r="M160" s="2646"/>
      <c r="N160" s="2646"/>
      <c r="O160" s="2646"/>
      <c r="P160" s="2646"/>
      <c r="Q160" s="2646"/>
      <c r="R160" s="2646"/>
      <c r="S160" s="2646"/>
      <c r="T160" s="2646"/>
      <c r="U160" s="2646"/>
      <c r="V160" s="2646"/>
      <c r="W160" s="2646"/>
      <c r="X160" s="2646"/>
      <c r="Y160" s="2646"/>
      <c r="Z160" s="2646"/>
      <c r="AA160" s="2646"/>
      <c r="AB160" s="2646"/>
      <c r="AC160" s="2646"/>
      <c r="AD160" s="2646"/>
      <c r="AE160" s="2646"/>
      <c r="AF160" s="2646"/>
      <c r="AG160" s="2646"/>
      <c r="AH160" s="2646"/>
      <c r="AI160" s="2646"/>
      <c r="AJ160" s="2646"/>
      <c r="AK160" s="1168"/>
      <c r="AM160" s="535"/>
      <c r="AN160" s="531"/>
      <c r="AO160" s="472"/>
      <c r="AP160" s="485"/>
    </row>
    <row r="161" spans="1:42" s="532" customFormat="1" ht="12.75" customHeight="1">
      <c r="B161" s="2646"/>
      <c r="C161" s="2646"/>
      <c r="D161" s="2646"/>
      <c r="E161" s="2646"/>
      <c r="F161" s="2646"/>
      <c r="G161" s="2646"/>
      <c r="H161" s="2646"/>
      <c r="I161" s="2646"/>
      <c r="J161" s="2646"/>
      <c r="K161" s="2646"/>
      <c r="L161" s="2646"/>
      <c r="M161" s="2646"/>
      <c r="N161" s="2646"/>
      <c r="O161" s="2646"/>
      <c r="P161" s="2646"/>
      <c r="Q161" s="2646"/>
      <c r="R161" s="2646"/>
      <c r="S161" s="2646"/>
      <c r="T161" s="2646"/>
      <c r="U161" s="2646"/>
      <c r="V161" s="2646"/>
      <c r="W161" s="2646"/>
      <c r="X161" s="2646"/>
      <c r="Y161" s="2646"/>
      <c r="Z161" s="2646"/>
      <c r="AA161" s="2646"/>
      <c r="AB161" s="2646"/>
      <c r="AC161" s="2646"/>
      <c r="AD161" s="2646"/>
      <c r="AE161" s="2646"/>
      <c r="AF161" s="2646"/>
      <c r="AG161" s="2646"/>
      <c r="AH161" s="2646"/>
      <c r="AI161" s="2646"/>
      <c r="AJ161" s="2646"/>
      <c r="AK161" s="1168"/>
      <c r="AM161" s="535"/>
      <c r="AN161" s="531"/>
      <c r="AO161" s="472"/>
      <c r="AP161" s="485"/>
    </row>
    <row r="162" spans="1:42" s="532" customFormat="1" ht="12.75" customHeight="1">
      <c r="C162" s="2557" t="s">
        <v>2399</v>
      </c>
      <c r="D162" s="2557"/>
      <c r="E162" s="2557"/>
      <c r="F162" s="2557"/>
      <c r="G162" s="2557"/>
      <c r="H162" s="2557"/>
      <c r="I162" s="2557"/>
      <c r="J162" s="2557"/>
      <c r="K162" s="2557"/>
      <c r="L162" s="2557"/>
      <c r="M162" s="2557"/>
      <c r="N162" s="2557"/>
      <c r="O162" s="2557"/>
      <c r="P162" s="2557"/>
      <c r="Q162" s="2557"/>
      <c r="R162" s="2557"/>
      <c r="S162" s="2557"/>
      <c r="T162" s="2557"/>
      <c r="U162" s="2557"/>
      <c r="V162" s="2557"/>
      <c r="W162" s="2557"/>
      <c r="X162" s="2557"/>
      <c r="Y162" s="2557"/>
      <c r="Z162" s="2557"/>
      <c r="AA162" s="2557"/>
      <c r="AB162" s="2557"/>
      <c r="AC162" s="2557"/>
      <c r="AD162" s="2557"/>
      <c r="AE162" s="2557"/>
      <c r="AF162" s="2557"/>
      <c r="AG162" s="2557"/>
      <c r="AH162" s="2557"/>
      <c r="AI162" s="2557"/>
      <c r="AJ162" s="2557"/>
      <c r="AK162" s="1168"/>
      <c r="AM162" s="535"/>
      <c r="AN162" s="531"/>
      <c r="AO162" s="472"/>
      <c r="AP162" s="485"/>
    </row>
    <row r="163" spans="1:42" s="532" customFormat="1" ht="12.75" customHeight="1">
      <c r="B163" s="1168"/>
      <c r="C163" s="2479" t="s">
        <v>2397</v>
      </c>
      <c r="D163" s="2479"/>
      <c r="E163" s="2479"/>
      <c r="F163" s="2479"/>
      <c r="G163" s="2479"/>
      <c r="H163" s="2479"/>
      <c r="I163" s="2479"/>
      <c r="J163" s="2479"/>
      <c r="K163" s="2479"/>
      <c r="L163" s="2479"/>
      <c r="M163" s="2479"/>
      <c r="N163" s="2479"/>
      <c r="O163" s="2479"/>
      <c r="P163" s="2479"/>
      <c r="Q163" s="2479"/>
      <c r="R163" s="2479"/>
      <c r="S163" s="2479"/>
      <c r="T163" s="2479"/>
      <c r="U163" s="2479"/>
      <c r="V163" s="2479"/>
      <c r="W163" s="2479"/>
      <c r="X163" s="2479"/>
      <c r="Y163" s="2479"/>
      <c r="Z163" s="2479"/>
      <c r="AA163" s="1158"/>
      <c r="AB163" s="1158"/>
      <c r="AC163" s="1158"/>
      <c r="AD163" s="1158"/>
      <c r="AE163" s="1158"/>
      <c r="AF163" s="1158"/>
      <c r="AG163" s="1158"/>
      <c r="AH163" s="1158"/>
      <c r="AJ163" s="2482" t="s">
        <v>589</v>
      </c>
      <c r="AK163" s="2482"/>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485">
        <f>IF($AB$154="N/A",VLOOKUP($B$152,$AO$150:$AP$153,2,FALSE),VLOOKUP($B$157,$AO$155:$AP$157,2,FALSE))</f>
        <v>7</v>
      </c>
      <c r="AK165" s="2485"/>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0" t="s">
        <v>1343</v>
      </c>
      <c r="AG167" s="2470"/>
      <c r="AH167" s="2470"/>
      <c r="AI167" s="2470"/>
      <c r="AJ167" s="2470"/>
      <c r="AK167" s="2470"/>
      <c r="AL167" s="2470"/>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1" t="s">
        <v>1341</v>
      </c>
      <c r="D169" s="2481"/>
      <c r="E169" s="2481"/>
      <c r="F169" s="2481"/>
      <c r="G169" s="2481"/>
      <c r="H169" s="2481"/>
      <c r="I169" s="2481"/>
      <c r="J169" s="2481"/>
      <c r="K169" s="2481"/>
      <c r="L169" s="2481"/>
      <c r="M169" s="2481"/>
      <c r="N169" s="2481"/>
      <c r="O169" s="2481"/>
      <c r="P169" s="2481"/>
      <c r="Q169" s="2481"/>
      <c r="R169" s="2481"/>
      <c r="S169" s="2481"/>
      <c r="T169" s="2481"/>
      <c r="U169" s="2481"/>
      <c r="V169" s="2481"/>
      <c r="W169" s="2481"/>
      <c r="X169" s="2481"/>
      <c r="Y169" s="2481"/>
      <c r="Z169" s="2481"/>
      <c r="AA169" s="2481"/>
      <c r="AB169" s="2481"/>
      <c r="AC169" s="2481"/>
      <c r="AD169" s="2481"/>
      <c r="AE169" s="2481"/>
      <c r="AF169" s="2481"/>
      <c r="AG169" s="2481"/>
      <c r="AH169" s="2481"/>
      <c r="AI169" s="2481"/>
      <c r="AJ169" s="532"/>
      <c r="AK169" s="532"/>
      <c r="AL169" s="532"/>
      <c r="AM169" s="596"/>
      <c r="AN169" s="590"/>
      <c r="AO169" s="472" t="s">
        <v>307</v>
      </c>
      <c r="AP169" s="472"/>
    </row>
    <row r="170" spans="1:42" s="544" customFormat="1" ht="12.9"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2" t="s">
        <v>589</v>
      </c>
      <c r="AG171" s="2482"/>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481" t="s">
        <v>1334</v>
      </c>
      <c r="D173" s="2481"/>
      <c r="E173" s="2481"/>
      <c r="F173" s="2481"/>
      <c r="G173" s="2481"/>
      <c r="H173" s="2481"/>
      <c r="I173" s="2481"/>
      <c r="J173" s="2481"/>
      <c r="K173" s="2481"/>
      <c r="L173" s="2481"/>
      <c r="M173" s="2481"/>
      <c r="N173" s="2481"/>
      <c r="O173" s="2481"/>
      <c r="P173" s="2481"/>
      <c r="Q173" s="2481"/>
      <c r="R173" s="2481"/>
      <c r="S173" s="2481"/>
      <c r="T173" s="2481"/>
      <c r="U173" s="2481"/>
      <c r="V173" s="2481"/>
      <c r="W173" s="2481"/>
      <c r="X173" s="2481"/>
      <c r="Y173" s="2481"/>
      <c r="Z173" s="2481"/>
      <c r="AA173" s="2481"/>
      <c r="AB173" s="2481"/>
      <c r="AC173" s="2481"/>
      <c r="AD173" s="2481"/>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483" t="str">
        <f>Application!AA344</f>
        <v>Buckingham Property Management</v>
      </c>
      <c r="D177" s="2483"/>
      <c r="E177" s="2483"/>
      <c r="F177" s="2483"/>
      <c r="G177" s="2483"/>
      <c r="H177" s="2483"/>
      <c r="I177" s="2483"/>
      <c r="J177" s="2483"/>
      <c r="K177" s="2483"/>
      <c r="L177" s="2483"/>
      <c r="M177" s="2483"/>
      <c r="N177" s="2483"/>
      <c r="O177" s="2483"/>
      <c r="P177" s="2483"/>
      <c r="Q177" s="2483"/>
      <c r="R177" s="2483"/>
      <c r="S177" s="2483"/>
      <c r="T177" s="2483"/>
      <c r="U177" s="2483"/>
      <c r="V177" s="2483"/>
      <c r="W177" s="2483"/>
      <c r="X177" s="2483"/>
      <c r="Y177" s="2483"/>
      <c r="Z177" s="2483"/>
      <c r="AA177" s="2483"/>
      <c r="AB177" s="2483"/>
      <c r="AC177" s="2483"/>
      <c r="AD177" s="2483"/>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484">
        <f>IF($AF$171="N/A",VLOOKUP($C$169,$AO$169:$AP$172,2,FALSE),VLOOKUP($C$173,$AO$176:$AP$178,2,FALSE))</f>
        <v>3</v>
      </c>
      <c r="AK179" s="2484"/>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448">
        <f>$AJ$165+$AJ$179</f>
        <v>10</v>
      </c>
      <c r="AL182" s="2449"/>
      <c r="AM182" s="2450"/>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7" t="s">
        <v>1305</v>
      </c>
      <c r="AF185" s="2437"/>
      <c r="AG185" s="2437"/>
      <c r="AH185" s="2437"/>
      <c r="AI185" s="2437"/>
      <c r="AJ185" s="2437"/>
      <c r="AK185" s="2437"/>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478" t="s">
        <v>1039</v>
      </c>
      <c r="C187" s="2478"/>
      <c r="D187" s="2478"/>
      <c r="E187" s="2478"/>
      <c r="F187" s="2478"/>
      <c r="G187" s="2478"/>
      <c r="H187" s="2478"/>
      <c r="I187" s="2478"/>
      <c r="J187" s="2478"/>
      <c r="K187" s="2478"/>
      <c r="L187" s="2478"/>
      <c r="M187" s="2478"/>
      <c r="N187" s="2478"/>
      <c r="O187" s="2478"/>
      <c r="P187" s="2478"/>
      <c r="Q187" s="2478"/>
      <c r="R187" s="2478"/>
      <c r="S187" s="2478"/>
      <c r="T187" s="2478"/>
      <c r="U187" s="2478"/>
      <c r="V187" s="2478"/>
      <c r="W187" s="2478"/>
      <c r="X187" s="2478"/>
      <c r="Y187" s="2478"/>
      <c r="Z187" s="2478"/>
      <c r="AA187" s="2478"/>
      <c r="AB187" s="2478"/>
      <c r="AC187" s="2478"/>
      <c r="AD187" s="532"/>
      <c r="AE187" s="532"/>
      <c r="AF187" s="2470" t="s">
        <v>1354</v>
      </c>
      <c r="AG187" s="2470"/>
      <c r="AH187" s="2470"/>
      <c r="AI187" s="2470"/>
      <c r="AJ187" s="2470"/>
      <c r="AK187" s="2470"/>
      <c r="AL187" s="2470"/>
      <c r="AN187" s="590"/>
      <c r="AP187" s="544" t="s">
        <v>1041</v>
      </c>
      <c r="AQ187" s="544">
        <v>10</v>
      </c>
    </row>
    <row r="188" spans="1:73" s="544" customFormat="1" ht="12.75" customHeight="1">
      <c r="A188" s="532"/>
      <c r="B188" s="2479" t="s">
        <v>1712</v>
      </c>
      <c r="C188" s="2479"/>
      <c r="D188" s="2479"/>
      <c r="E188" s="2479"/>
      <c r="F188" s="2479"/>
      <c r="G188" s="2479"/>
      <c r="H188" s="2479"/>
      <c r="I188" s="2479"/>
      <c r="J188" s="2479"/>
      <c r="K188" s="2479"/>
      <c r="L188" s="2479"/>
      <c r="M188" s="2479"/>
      <c r="N188" s="2479"/>
      <c r="O188" s="2479"/>
      <c r="P188" s="2479"/>
      <c r="Q188" s="2479"/>
      <c r="R188" s="2479"/>
      <c r="S188" s="2479"/>
      <c r="T188" s="2480" t="s">
        <v>589</v>
      </c>
      <c r="U188" s="2480"/>
      <c r="V188" s="2480"/>
      <c r="W188" s="2480"/>
      <c r="X188" s="2480"/>
      <c r="Y188" s="2480"/>
      <c r="Z188" s="2480"/>
      <c r="AA188" s="2480"/>
      <c r="AB188" s="2480"/>
      <c r="AC188" s="2480"/>
      <c r="AD188" s="532"/>
      <c r="AE188" s="532"/>
      <c r="AF188" s="532"/>
      <c r="AG188" s="532"/>
      <c r="AH188" s="532"/>
      <c r="AI188" s="532"/>
      <c r="AJ188" s="539"/>
      <c r="AK188" s="588"/>
      <c r="AL188" s="588"/>
      <c r="AM188" s="588"/>
      <c r="AN188" s="590"/>
      <c r="AP188" s="544" t="s">
        <v>1355</v>
      </c>
      <c r="AQ188" s="544">
        <v>10</v>
      </c>
      <c r="AS188" s="544" t="s">
        <v>589</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495">
        <f>IF(AK83&gt;0,VLOOKUP($B$187,AP184:AQ190,2,FALSE),0)</f>
        <v>10</v>
      </c>
      <c r="AL190" s="2496"/>
      <c r="AM190" s="2497"/>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7" t="s">
        <v>1362</v>
      </c>
      <c r="AF193" s="2437"/>
      <c r="AG193" s="2437"/>
      <c r="AH193" s="2437"/>
      <c r="AI193" s="2437"/>
      <c r="AJ193" s="2437"/>
      <c r="AK193" s="2437"/>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2"/>
      <c r="C198" s="2472"/>
      <c r="D198" s="2472"/>
      <c r="E198" s="2472"/>
      <c r="F198" s="2472"/>
      <c r="G198" s="2472"/>
      <c r="H198" s="2472"/>
      <c r="I198" s="2472"/>
      <c r="J198" s="2472"/>
      <c r="K198" s="2472"/>
      <c r="L198" s="2472"/>
      <c r="M198" s="2472"/>
      <c r="N198" s="2472"/>
      <c r="O198" s="2472"/>
      <c r="P198" s="2472"/>
      <c r="Q198" s="2472"/>
      <c r="R198" s="2472"/>
      <c r="S198" s="2472"/>
      <c r="T198" s="2472"/>
      <c r="U198" s="2472"/>
      <c r="V198" s="2472"/>
      <c r="W198" s="2472"/>
      <c r="X198" s="2472"/>
      <c r="Y198" s="2472"/>
      <c r="Z198" s="2472"/>
      <c r="AA198" s="2472"/>
      <c r="AB198" s="2472"/>
      <c r="AC198" s="837"/>
      <c r="AD198" s="2473"/>
      <c r="AE198" s="2473"/>
      <c r="AF198" s="2473"/>
      <c r="AG198" s="2473"/>
      <c r="AH198" s="2473"/>
      <c r="AI198" s="2473"/>
      <c r="AJ198" s="2473"/>
      <c r="AK198" s="603"/>
    </row>
    <row r="199" spans="1:37" hidden="1">
      <c r="A199" s="598"/>
      <c r="B199" s="2472"/>
      <c r="C199" s="2472"/>
      <c r="D199" s="2472"/>
      <c r="E199" s="2472"/>
      <c r="F199" s="2472"/>
      <c r="G199" s="2472"/>
      <c r="H199" s="2472"/>
      <c r="I199" s="2472"/>
      <c r="J199" s="2472"/>
      <c r="K199" s="2472"/>
      <c r="L199" s="2472"/>
      <c r="M199" s="2472"/>
      <c r="N199" s="2472"/>
      <c r="O199" s="2472"/>
      <c r="P199" s="2472"/>
      <c r="Q199" s="2472"/>
      <c r="R199" s="2472"/>
      <c r="S199" s="2472"/>
      <c r="T199" s="2472"/>
      <c r="U199" s="2472"/>
      <c r="V199" s="2472"/>
      <c r="W199" s="2472"/>
      <c r="X199" s="2472"/>
      <c r="Y199" s="2472"/>
      <c r="Z199" s="2472"/>
      <c r="AA199" s="2472"/>
      <c r="AB199" s="2472"/>
      <c r="AC199" s="837"/>
      <c r="AD199" s="2473"/>
      <c r="AE199" s="2473"/>
      <c r="AF199" s="2473"/>
      <c r="AG199" s="2473"/>
      <c r="AH199" s="2473"/>
      <c r="AI199" s="2473"/>
      <c r="AJ199" s="2473"/>
      <c r="AK199" s="603"/>
    </row>
    <row r="200" spans="1:37" hidden="1">
      <c r="A200" s="598"/>
      <c r="B200" s="2472"/>
      <c r="C200" s="2472"/>
      <c r="D200" s="2472"/>
      <c r="E200" s="2472"/>
      <c r="F200" s="2472"/>
      <c r="G200" s="2472"/>
      <c r="H200" s="2472"/>
      <c r="I200" s="2472"/>
      <c r="J200" s="2472"/>
      <c r="K200" s="2472"/>
      <c r="L200" s="2472"/>
      <c r="M200" s="2472"/>
      <c r="N200" s="2472"/>
      <c r="O200" s="2472"/>
      <c r="P200" s="2472"/>
      <c r="Q200" s="2472"/>
      <c r="R200" s="2472"/>
      <c r="S200" s="2472"/>
      <c r="T200" s="2472"/>
      <c r="U200" s="2472"/>
      <c r="V200" s="2472"/>
      <c r="W200" s="2472"/>
      <c r="X200" s="2472"/>
      <c r="Y200" s="2472"/>
      <c r="Z200" s="2472"/>
      <c r="AA200" s="2472"/>
      <c r="AB200" s="2472"/>
      <c r="AC200" s="837"/>
      <c r="AD200" s="2473"/>
      <c r="AE200" s="2473"/>
      <c r="AF200" s="2473"/>
      <c r="AG200" s="2473"/>
      <c r="AH200" s="2473"/>
      <c r="AI200" s="2473"/>
      <c r="AJ200" s="2473"/>
      <c r="AK200" s="603"/>
    </row>
    <row r="201" spans="1:37" hidden="1">
      <c r="A201" s="598"/>
      <c r="B201" s="2472"/>
      <c r="C201" s="2472"/>
      <c r="D201" s="2472"/>
      <c r="E201" s="2472"/>
      <c r="F201" s="2472"/>
      <c r="G201" s="2472"/>
      <c r="H201" s="2472"/>
      <c r="I201" s="2472"/>
      <c r="J201" s="2472"/>
      <c r="K201" s="2472"/>
      <c r="L201" s="2472"/>
      <c r="M201" s="2472"/>
      <c r="N201" s="2472"/>
      <c r="O201" s="2472"/>
      <c r="P201" s="2472"/>
      <c r="Q201" s="2472"/>
      <c r="R201" s="2472"/>
      <c r="S201" s="2472"/>
      <c r="T201" s="2472"/>
      <c r="U201" s="2472"/>
      <c r="V201" s="2472"/>
      <c r="W201" s="2472"/>
      <c r="X201" s="2472"/>
      <c r="Y201" s="2472"/>
      <c r="Z201" s="2472"/>
      <c r="AA201" s="2472"/>
      <c r="AB201" s="2472"/>
      <c r="AC201" s="837"/>
      <c r="AD201" s="2473"/>
      <c r="AE201" s="2473"/>
      <c r="AF201" s="2473"/>
      <c r="AG201" s="2473"/>
      <c r="AH201" s="2473"/>
      <c r="AI201" s="2473"/>
      <c r="AJ201" s="2473"/>
      <c r="AK201" s="603"/>
    </row>
    <row r="202" spans="1:37" hidden="1">
      <c r="A202" s="598"/>
      <c r="B202" s="2472"/>
      <c r="C202" s="2472"/>
      <c r="D202" s="2472"/>
      <c r="E202" s="2472"/>
      <c r="F202" s="2472"/>
      <c r="G202" s="2472"/>
      <c r="H202" s="2472"/>
      <c r="I202" s="2472"/>
      <c r="J202" s="2472"/>
      <c r="K202" s="2472"/>
      <c r="L202" s="2472"/>
      <c r="M202" s="2472"/>
      <c r="N202" s="2472"/>
      <c r="O202" s="2472"/>
      <c r="P202" s="2472"/>
      <c r="Q202" s="2472"/>
      <c r="R202" s="2472"/>
      <c r="S202" s="2472"/>
      <c r="T202" s="2472"/>
      <c r="U202" s="2472"/>
      <c r="V202" s="2472"/>
      <c r="W202" s="2472"/>
      <c r="X202" s="2472"/>
      <c r="Y202" s="2472"/>
      <c r="Z202" s="2472"/>
      <c r="AA202" s="2472"/>
      <c r="AB202" s="2472"/>
      <c r="AC202" s="837"/>
      <c r="AD202" s="2473"/>
      <c r="AE202" s="2473"/>
      <c r="AF202" s="2473"/>
      <c r="AG202" s="2473"/>
      <c r="AH202" s="2473"/>
      <c r="AI202" s="2473"/>
      <c r="AJ202" s="2473"/>
      <c r="AK202" s="603"/>
    </row>
    <row r="203" spans="1:37" hidden="1">
      <c r="A203" s="598"/>
      <c r="B203" s="2472"/>
      <c r="C203" s="2472"/>
      <c r="D203" s="2472"/>
      <c r="E203" s="2472"/>
      <c r="F203" s="2472"/>
      <c r="G203" s="2472"/>
      <c r="H203" s="2472"/>
      <c r="I203" s="2472"/>
      <c r="J203" s="2472"/>
      <c r="K203" s="2472"/>
      <c r="L203" s="2472"/>
      <c r="M203" s="2472"/>
      <c r="N203" s="2472"/>
      <c r="O203" s="2472"/>
      <c r="P203" s="2472"/>
      <c r="Q203" s="2472"/>
      <c r="R203" s="2472"/>
      <c r="S203" s="2472"/>
      <c r="T203" s="2472"/>
      <c r="U203" s="2472"/>
      <c r="V203" s="2472"/>
      <c r="W203" s="2472"/>
      <c r="X203" s="2472"/>
      <c r="Y203" s="2472"/>
      <c r="Z203" s="2472"/>
      <c r="AA203" s="2472"/>
      <c r="AB203" s="2472"/>
      <c r="AC203" s="837"/>
      <c r="AD203" s="2473"/>
      <c r="AE203" s="2473"/>
      <c r="AF203" s="2473"/>
      <c r="AG203" s="2473"/>
      <c r="AH203" s="2473"/>
      <c r="AI203" s="2473"/>
      <c r="AJ203" s="2473"/>
      <c r="AK203" s="603"/>
    </row>
    <row r="204" spans="1:37" hidden="1">
      <c r="A204" s="598"/>
      <c r="B204" s="2472"/>
      <c r="C204" s="2472"/>
      <c r="D204" s="2472"/>
      <c r="E204" s="2472"/>
      <c r="F204" s="2472"/>
      <c r="G204" s="2472"/>
      <c r="H204" s="2472"/>
      <c r="I204" s="2472"/>
      <c r="J204" s="2472"/>
      <c r="K204" s="2472"/>
      <c r="L204" s="2472"/>
      <c r="M204" s="2472"/>
      <c r="N204" s="2472"/>
      <c r="O204" s="2472"/>
      <c r="P204" s="2472"/>
      <c r="Q204" s="2472"/>
      <c r="R204" s="2472"/>
      <c r="S204" s="2472"/>
      <c r="T204" s="2472"/>
      <c r="U204" s="2472"/>
      <c r="V204" s="2472"/>
      <c r="W204" s="2472"/>
      <c r="X204" s="2472"/>
      <c r="Y204" s="2472"/>
      <c r="Z204" s="2472"/>
      <c r="AA204" s="2472"/>
      <c r="AB204" s="2472"/>
      <c r="AC204" s="837"/>
      <c r="AD204" s="2473"/>
      <c r="AE204" s="2473"/>
      <c r="AF204" s="2473"/>
      <c r="AG204" s="2473"/>
      <c r="AH204" s="2473"/>
      <c r="AI204" s="2473"/>
      <c r="AJ204" s="2473"/>
      <c r="AK204" s="603"/>
    </row>
    <row r="205" spans="1:37" hidden="1">
      <c r="A205" s="598"/>
      <c r="B205" s="2472"/>
      <c r="C205" s="2472"/>
      <c r="D205" s="2472"/>
      <c r="E205" s="2472"/>
      <c r="F205" s="2472"/>
      <c r="G205" s="2472"/>
      <c r="H205" s="2472"/>
      <c r="I205" s="2472"/>
      <c r="J205" s="2472"/>
      <c r="K205" s="2472"/>
      <c r="L205" s="2472"/>
      <c r="M205" s="2472"/>
      <c r="N205" s="2472"/>
      <c r="O205" s="2472"/>
      <c r="P205" s="2472"/>
      <c r="Q205" s="2472"/>
      <c r="R205" s="2472"/>
      <c r="S205" s="2472"/>
      <c r="T205" s="2472"/>
      <c r="U205" s="2472"/>
      <c r="V205" s="2472"/>
      <c r="W205" s="2472"/>
      <c r="X205" s="2472"/>
      <c r="Y205" s="2472"/>
      <c r="Z205" s="2472"/>
      <c r="AA205" s="2472"/>
      <c r="AB205" s="2472"/>
      <c r="AC205" s="837"/>
      <c r="AD205" s="2473"/>
      <c r="AE205" s="2473"/>
      <c r="AF205" s="2473"/>
      <c r="AG205" s="2473"/>
      <c r="AH205" s="2473"/>
      <c r="AI205" s="2473"/>
      <c r="AJ205" s="2473"/>
      <c r="AK205" s="603"/>
    </row>
    <row r="206" spans="1:37" hidden="1">
      <c r="A206" s="598"/>
      <c r="B206" s="2472"/>
      <c r="C206" s="2472"/>
      <c r="D206" s="2472"/>
      <c r="E206" s="2472"/>
      <c r="F206" s="2472"/>
      <c r="G206" s="2472"/>
      <c r="H206" s="2472"/>
      <c r="I206" s="2472"/>
      <c r="J206" s="2472"/>
      <c r="K206" s="2472"/>
      <c r="L206" s="2472"/>
      <c r="M206" s="2472"/>
      <c r="N206" s="2472"/>
      <c r="O206" s="2472"/>
      <c r="P206" s="2472"/>
      <c r="Q206" s="2472"/>
      <c r="R206" s="2472"/>
      <c r="S206" s="2472"/>
      <c r="T206" s="2472"/>
      <c r="U206" s="2472"/>
      <c r="V206" s="2472"/>
      <c r="W206" s="2472"/>
      <c r="X206" s="2472"/>
      <c r="Y206" s="2472"/>
      <c r="Z206" s="2472"/>
      <c r="AA206" s="2472"/>
      <c r="AB206" s="2472"/>
      <c r="AC206" s="837"/>
      <c r="AD206" s="2473"/>
      <c r="AE206" s="2473"/>
      <c r="AF206" s="2473"/>
      <c r="AG206" s="2473"/>
      <c r="AH206" s="2473"/>
      <c r="AI206" s="2473"/>
      <c r="AJ206" s="2473"/>
      <c r="AK206" s="603"/>
    </row>
    <row r="207" spans="1:37" hidden="1">
      <c r="A207" s="598"/>
      <c r="B207" s="2472"/>
      <c r="C207" s="2472"/>
      <c r="D207" s="2472"/>
      <c r="E207" s="2472"/>
      <c r="F207" s="2472"/>
      <c r="G207" s="2472"/>
      <c r="H207" s="2472"/>
      <c r="I207" s="2472"/>
      <c r="J207" s="2472"/>
      <c r="K207" s="2472"/>
      <c r="L207" s="2472"/>
      <c r="M207" s="2472"/>
      <c r="N207" s="2472"/>
      <c r="O207" s="2472"/>
      <c r="P207" s="2472"/>
      <c r="Q207" s="2472"/>
      <c r="R207" s="2472"/>
      <c r="S207" s="2472"/>
      <c r="T207" s="2472"/>
      <c r="U207" s="2472"/>
      <c r="V207" s="2472"/>
      <c r="W207" s="2472"/>
      <c r="X207" s="2472"/>
      <c r="Y207" s="2472"/>
      <c r="Z207" s="2472"/>
      <c r="AA207" s="2472"/>
      <c r="AB207" s="2472"/>
      <c r="AC207" s="837"/>
      <c r="AD207" s="2473"/>
      <c r="AE207" s="2473"/>
      <c r="AF207" s="2473"/>
      <c r="AG207" s="2473"/>
      <c r="AH207" s="2473"/>
      <c r="AI207" s="2473"/>
      <c r="AJ207" s="2473"/>
      <c r="AK207" s="603"/>
    </row>
    <row r="208" spans="1:37" hidden="1">
      <c r="A208" s="598"/>
      <c r="B208" s="2519" t="s">
        <v>1613</v>
      </c>
      <c r="C208" s="2519"/>
      <c r="D208" s="2519"/>
      <c r="E208" s="2519"/>
      <c r="F208" s="2519"/>
      <c r="G208" s="2519"/>
      <c r="H208" s="2519"/>
      <c r="I208" s="2519"/>
      <c r="J208" s="2519"/>
      <c r="K208" s="2519"/>
      <c r="L208" s="2519"/>
      <c r="M208" s="2519"/>
      <c r="N208" s="2519"/>
      <c r="O208" s="2519"/>
      <c r="P208" s="2519"/>
      <c r="Q208" s="2519"/>
      <c r="R208" s="2519"/>
      <c r="S208" s="2519"/>
      <c r="T208" s="2519"/>
      <c r="U208" s="2519"/>
      <c r="V208" s="2519"/>
      <c r="W208" s="2519"/>
      <c r="X208" s="2519"/>
      <c r="Y208" s="2519"/>
      <c r="Z208" s="2519"/>
      <c r="AA208" s="2519"/>
      <c r="AB208" s="2519"/>
      <c r="AC208" s="532"/>
      <c r="AD208" s="2502">
        <f>AB259</f>
        <v>0</v>
      </c>
      <c r="AE208" s="2502"/>
      <c r="AF208" s="2502"/>
      <c r="AG208" s="2502"/>
      <c r="AH208" s="2502"/>
      <c r="AI208" s="2502"/>
      <c r="AJ208" s="2502"/>
      <c r="AK208" s="603"/>
    </row>
    <row r="209" spans="1:37" hidden="1">
      <c r="A209" s="598"/>
      <c r="B209" s="2657" t="s">
        <v>1576</v>
      </c>
      <c r="C209" s="2657"/>
      <c r="D209" s="2657"/>
      <c r="E209" s="2657"/>
      <c r="F209" s="2657"/>
      <c r="G209" s="2657"/>
      <c r="H209" s="2657"/>
      <c r="I209" s="2657"/>
      <c r="J209" s="2657"/>
      <c r="K209" s="2657"/>
      <c r="L209" s="2657"/>
      <c r="M209" s="2657"/>
      <c r="N209" s="2657"/>
      <c r="O209" s="2657"/>
      <c r="P209" s="2657"/>
      <c r="Q209" s="2657"/>
      <c r="R209" s="2657"/>
      <c r="S209" s="2657"/>
      <c r="T209" s="2657"/>
      <c r="U209" s="2657"/>
      <c r="V209" s="2657"/>
      <c r="W209" s="2657"/>
      <c r="X209" s="2657"/>
      <c r="Y209" s="2657"/>
      <c r="Z209" s="2657"/>
      <c r="AA209" s="2657"/>
      <c r="AB209" s="2657"/>
      <c r="AC209" s="837"/>
      <c r="AD209" s="2503">
        <f>'Sources and Uses Budget'!B15</f>
        <v>0</v>
      </c>
      <c r="AE209" s="2503"/>
      <c r="AF209" s="2503"/>
      <c r="AG209" s="2503"/>
      <c r="AH209" s="2503"/>
      <c r="AI209" s="2503"/>
      <c r="AJ209" s="2503"/>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897</v>
      </c>
      <c r="AC210" s="532"/>
      <c r="AD210" s="2507">
        <f>SUM(AD198:AJ208)-AD209</f>
        <v>0</v>
      </c>
      <c r="AE210" s="2507"/>
      <c r="AF210" s="2507"/>
      <c r="AG210" s="2507"/>
      <c r="AH210" s="2507"/>
      <c r="AI210" s="2507"/>
      <c r="AJ210" s="2507"/>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6" t="s">
        <v>1593</v>
      </c>
      <c r="J221" s="2476"/>
      <c r="K221" s="2476"/>
      <c r="L221" s="532"/>
      <c r="M221" s="532"/>
      <c r="N221" s="532"/>
      <c r="O221" s="532"/>
      <c r="P221" s="532"/>
      <c r="Q221" s="532"/>
      <c r="R221" s="532"/>
      <c r="S221" s="532"/>
      <c r="T221" s="2644" t="s">
        <v>1587</v>
      </c>
      <c r="U221" s="2644"/>
      <c r="V221" s="2644"/>
      <c r="W221" s="2644"/>
      <c r="X221" s="2644"/>
      <c r="Y221" s="2644"/>
      <c r="Z221" s="840"/>
      <c r="AA221" s="485"/>
      <c r="AB221" s="2471" t="s">
        <v>1588</v>
      </c>
      <c r="AC221" s="2471"/>
      <c r="AD221" s="2471"/>
      <c r="AE221" s="2471"/>
      <c r="AF221" s="2471"/>
      <c r="AG221" s="2471"/>
      <c r="AH221" s="818"/>
      <c r="AI221" s="818"/>
      <c r="AJ221" s="818"/>
      <c r="AK221" s="603"/>
    </row>
    <row r="222" spans="1:37" hidden="1">
      <c r="A222" s="598"/>
      <c r="B222" s="2474" t="s">
        <v>1573</v>
      </c>
      <c r="C222" s="2474"/>
      <c r="D222" s="2474"/>
      <c r="E222" s="2474"/>
      <c r="F222" s="2474"/>
      <c r="G222" s="2474"/>
      <c r="I222" s="2475" t="s">
        <v>1594</v>
      </c>
      <c r="J222" s="2475"/>
      <c r="K222" s="2475"/>
      <c r="L222" s="998"/>
      <c r="N222" s="2465" t="s">
        <v>1589</v>
      </c>
      <c r="O222" s="2465"/>
      <c r="P222" s="2465"/>
      <c r="Q222" s="2465"/>
      <c r="R222" s="2465"/>
      <c r="T222" s="2465" t="s">
        <v>1590</v>
      </c>
      <c r="U222" s="2465"/>
      <c r="V222" s="2465"/>
      <c r="W222" s="2465"/>
      <c r="X222" s="2465"/>
      <c r="Y222" s="2465"/>
      <c r="Z222" s="841"/>
      <c r="AA222" s="485"/>
      <c r="AB222" s="2623" t="s">
        <v>1591</v>
      </c>
      <c r="AC222" s="2623"/>
      <c r="AD222" s="2623"/>
      <c r="AE222" s="2623"/>
      <c r="AF222" s="2623"/>
      <c r="AG222" s="2623"/>
      <c r="AH222" s="818"/>
      <c r="AI222" s="818"/>
      <c r="AJ222" s="818"/>
      <c r="AK222" s="603"/>
    </row>
    <row r="223" spans="1:37" hidden="1">
      <c r="A223" s="598"/>
      <c r="B223" s="2477" t="s">
        <v>1181</v>
      </c>
      <c r="C223" s="2477"/>
      <c r="D223" s="2477"/>
      <c r="E223" s="2477"/>
      <c r="F223" s="2477"/>
      <c r="G223" s="2477"/>
      <c r="H223" s="843"/>
      <c r="I223" s="2463"/>
      <c r="J223" s="2463"/>
      <c r="K223" s="2463"/>
      <c r="L223" s="998"/>
      <c r="N223" s="2518"/>
      <c r="O223" s="2518"/>
      <c r="P223" s="2518"/>
      <c r="Q223" s="2518"/>
      <c r="R223" s="2518"/>
      <c r="T223" s="2622"/>
      <c r="U223" s="2622"/>
      <c r="V223" s="2622"/>
      <c r="W223" s="2622"/>
      <c r="X223" s="2622"/>
      <c r="Y223" s="2622"/>
      <c r="Z223" s="842"/>
      <c r="AA223" s="842"/>
      <c r="AB223" s="2462">
        <f t="shared" ref="AB223:AB232" si="0">MAX(($T223-$N223)*$I223*12,0)</f>
        <v>0</v>
      </c>
      <c r="AC223" s="2462"/>
      <c r="AD223" s="2462"/>
      <c r="AE223" s="2462"/>
      <c r="AF223" s="2462"/>
      <c r="AG223" s="2462"/>
      <c r="AH223" s="818"/>
      <c r="AI223" s="818"/>
      <c r="AJ223" s="818"/>
      <c r="AK223" s="603"/>
    </row>
    <row r="224" spans="1:37" hidden="1">
      <c r="A224" s="598"/>
      <c r="B224" s="2477" t="s">
        <v>1181</v>
      </c>
      <c r="C224" s="2477"/>
      <c r="D224" s="2477"/>
      <c r="E224" s="2477"/>
      <c r="F224" s="2477"/>
      <c r="G224" s="2477"/>
      <c r="I224" s="2463"/>
      <c r="J224" s="2463"/>
      <c r="K224" s="2463"/>
      <c r="L224" s="998"/>
      <c r="N224" s="2518"/>
      <c r="O224" s="2518"/>
      <c r="P224" s="2518"/>
      <c r="Q224" s="2518"/>
      <c r="R224" s="2518"/>
      <c r="T224" s="2622"/>
      <c r="U224" s="2622"/>
      <c r="V224" s="2622"/>
      <c r="W224" s="2622"/>
      <c r="X224" s="2622"/>
      <c r="Y224" s="2622"/>
      <c r="Z224" s="842"/>
      <c r="AA224" s="842"/>
      <c r="AB224" s="2462">
        <f t="shared" si="0"/>
        <v>0</v>
      </c>
      <c r="AC224" s="2462"/>
      <c r="AD224" s="2462"/>
      <c r="AE224" s="2462"/>
      <c r="AF224" s="2462"/>
      <c r="AG224" s="2462"/>
      <c r="AH224" s="818"/>
      <c r="AI224" s="818"/>
      <c r="AJ224" s="818"/>
      <c r="AK224" s="603"/>
    </row>
    <row r="225" spans="1:37" hidden="1">
      <c r="A225" s="598"/>
      <c r="B225" s="2477" t="s">
        <v>1181</v>
      </c>
      <c r="C225" s="2477"/>
      <c r="D225" s="2477"/>
      <c r="E225" s="2477"/>
      <c r="F225" s="2477"/>
      <c r="G225" s="2477"/>
      <c r="I225" s="2463"/>
      <c r="J225" s="2463"/>
      <c r="K225" s="2463"/>
      <c r="L225" s="998"/>
      <c r="N225" s="2518"/>
      <c r="O225" s="2518"/>
      <c r="P225" s="2518"/>
      <c r="Q225" s="2518"/>
      <c r="R225" s="2518"/>
      <c r="T225" s="2622"/>
      <c r="U225" s="2622"/>
      <c r="V225" s="2622"/>
      <c r="W225" s="2622"/>
      <c r="X225" s="2622"/>
      <c r="Y225" s="2622"/>
      <c r="Z225" s="842"/>
      <c r="AA225" s="842"/>
      <c r="AB225" s="2462">
        <f t="shared" si="0"/>
        <v>0</v>
      </c>
      <c r="AC225" s="2462"/>
      <c r="AD225" s="2462"/>
      <c r="AE225" s="2462"/>
      <c r="AF225" s="2462"/>
      <c r="AG225" s="2462"/>
      <c r="AH225" s="818"/>
      <c r="AI225" s="818"/>
      <c r="AJ225" s="818"/>
      <c r="AK225" s="603"/>
    </row>
    <row r="226" spans="1:37" hidden="1">
      <c r="A226" s="598"/>
      <c r="B226" s="2477" t="s">
        <v>1181</v>
      </c>
      <c r="C226" s="2477"/>
      <c r="D226" s="2477"/>
      <c r="E226" s="2477"/>
      <c r="F226" s="2477"/>
      <c r="G226" s="2477"/>
      <c r="I226" s="2463"/>
      <c r="J226" s="2463"/>
      <c r="K226" s="2463"/>
      <c r="L226" s="998"/>
      <c r="N226" s="2518"/>
      <c r="O226" s="2518"/>
      <c r="P226" s="2518"/>
      <c r="Q226" s="2518"/>
      <c r="R226" s="2518"/>
      <c r="T226" s="2622"/>
      <c r="U226" s="2622"/>
      <c r="V226" s="2622"/>
      <c r="W226" s="2622"/>
      <c r="X226" s="2622"/>
      <c r="Y226" s="2622"/>
      <c r="Z226" s="842"/>
      <c r="AA226" s="842"/>
      <c r="AB226" s="2462">
        <f t="shared" si="0"/>
        <v>0</v>
      </c>
      <c r="AC226" s="2462"/>
      <c r="AD226" s="2462"/>
      <c r="AE226" s="2462"/>
      <c r="AF226" s="2462"/>
      <c r="AG226" s="2462"/>
      <c r="AH226" s="818"/>
      <c r="AI226" s="818"/>
      <c r="AJ226" s="818"/>
      <c r="AK226" s="603"/>
    </row>
    <row r="227" spans="1:37" hidden="1">
      <c r="A227" s="598"/>
      <c r="B227" s="2477" t="s">
        <v>1181</v>
      </c>
      <c r="C227" s="2477"/>
      <c r="D227" s="2477"/>
      <c r="E227" s="2477"/>
      <c r="F227" s="2477"/>
      <c r="G227" s="2477"/>
      <c r="I227" s="2463"/>
      <c r="J227" s="2463"/>
      <c r="K227" s="2463"/>
      <c r="L227" s="1005"/>
      <c r="N227" s="2518"/>
      <c r="O227" s="2518"/>
      <c r="P227" s="2518"/>
      <c r="Q227" s="2518"/>
      <c r="R227" s="2518"/>
      <c r="T227" s="2622"/>
      <c r="U227" s="2622"/>
      <c r="V227" s="2622"/>
      <c r="W227" s="2622"/>
      <c r="X227" s="2622"/>
      <c r="Y227" s="2622"/>
      <c r="Z227" s="842"/>
      <c r="AA227" s="842"/>
      <c r="AB227" s="2462">
        <f t="shared" si="0"/>
        <v>0</v>
      </c>
      <c r="AC227" s="2462"/>
      <c r="AD227" s="2462"/>
      <c r="AE227" s="2462"/>
      <c r="AF227" s="2462"/>
      <c r="AG227" s="2462"/>
      <c r="AH227" s="818"/>
      <c r="AI227" s="818"/>
      <c r="AJ227" s="818"/>
      <c r="AK227" s="603"/>
    </row>
    <row r="228" spans="1:37" hidden="1">
      <c r="A228" s="598"/>
      <c r="B228" s="2477" t="s">
        <v>1181</v>
      </c>
      <c r="C228" s="2477"/>
      <c r="D228" s="2477"/>
      <c r="E228" s="2477"/>
      <c r="F228" s="2477"/>
      <c r="G228" s="2477"/>
      <c r="I228" s="2463"/>
      <c r="J228" s="2463"/>
      <c r="K228" s="2463"/>
      <c r="L228" s="1005"/>
      <c r="N228" s="2518"/>
      <c r="O228" s="2518"/>
      <c r="P228" s="2518"/>
      <c r="Q228" s="2518"/>
      <c r="R228" s="2518"/>
      <c r="T228" s="2622"/>
      <c r="U228" s="2622"/>
      <c r="V228" s="2622"/>
      <c r="W228" s="2622"/>
      <c r="X228" s="2622"/>
      <c r="Y228" s="2622"/>
      <c r="Z228" s="842"/>
      <c r="AA228" s="842"/>
      <c r="AB228" s="2462">
        <f t="shared" si="0"/>
        <v>0</v>
      </c>
      <c r="AC228" s="2462"/>
      <c r="AD228" s="2462"/>
      <c r="AE228" s="2462"/>
      <c r="AF228" s="2462"/>
      <c r="AG228" s="2462"/>
      <c r="AH228" s="818"/>
      <c r="AI228" s="818"/>
      <c r="AJ228" s="818"/>
      <c r="AK228" s="603"/>
    </row>
    <row r="229" spans="1:37" hidden="1">
      <c r="A229" s="598"/>
      <c r="B229" s="2477" t="s">
        <v>1181</v>
      </c>
      <c r="C229" s="2477"/>
      <c r="D229" s="2477"/>
      <c r="E229" s="2477"/>
      <c r="F229" s="2477"/>
      <c r="G229" s="2477"/>
      <c r="I229" s="2463"/>
      <c r="J229" s="2463"/>
      <c r="K229" s="2463"/>
      <c r="L229" s="1005"/>
      <c r="N229" s="2518"/>
      <c r="O229" s="2518"/>
      <c r="P229" s="2518"/>
      <c r="Q229" s="2518"/>
      <c r="R229" s="2518"/>
      <c r="T229" s="2622"/>
      <c r="U229" s="2622"/>
      <c r="V229" s="2622"/>
      <c r="W229" s="2622"/>
      <c r="X229" s="2622"/>
      <c r="Y229" s="2622"/>
      <c r="Z229" s="842"/>
      <c r="AA229" s="842"/>
      <c r="AB229" s="2462">
        <f t="shared" si="0"/>
        <v>0</v>
      </c>
      <c r="AC229" s="2462"/>
      <c r="AD229" s="2462"/>
      <c r="AE229" s="2462"/>
      <c r="AF229" s="2462"/>
      <c r="AG229" s="2462"/>
      <c r="AH229" s="818"/>
      <c r="AI229" s="818"/>
      <c r="AJ229" s="818"/>
      <c r="AK229" s="603"/>
    </row>
    <row r="230" spans="1:37" hidden="1">
      <c r="A230" s="598"/>
      <c r="B230" s="2477" t="s">
        <v>1181</v>
      </c>
      <c r="C230" s="2477"/>
      <c r="D230" s="2477"/>
      <c r="E230" s="2477"/>
      <c r="F230" s="2477"/>
      <c r="G230" s="2477"/>
      <c r="I230" s="2463"/>
      <c r="J230" s="2463"/>
      <c r="K230" s="2463"/>
      <c r="L230" s="1005"/>
      <c r="N230" s="2518"/>
      <c r="O230" s="2518"/>
      <c r="P230" s="2518"/>
      <c r="Q230" s="2518"/>
      <c r="R230" s="2518"/>
      <c r="T230" s="2622"/>
      <c r="U230" s="2622"/>
      <c r="V230" s="2622"/>
      <c r="W230" s="2622"/>
      <c r="X230" s="2622"/>
      <c r="Y230" s="2622"/>
      <c r="Z230" s="842"/>
      <c r="AA230" s="842"/>
      <c r="AB230" s="2462">
        <f t="shared" si="0"/>
        <v>0</v>
      </c>
      <c r="AC230" s="2462"/>
      <c r="AD230" s="2462"/>
      <c r="AE230" s="2462"/>
      <c r="AF230" s="2462"/>
      <c r="AG230" s="2462"/>
      <c r="AH230" s="818"/>
      <c r="AI230" s="818"/>
      <c r="AJ230" s="818"/>
      <c r="AK230" s="603"/>
    </row>
    <row r="231" spans="1:37" hidden="1">
      <c r="A231" s="598"/>
      <c r="B231" s="2477" t="s">
        <v>1181</v>
      </c>
      <c r="C231" s="2477"/>
      <c r="D231" s="2477"/>
      <c r="E231" s="2477"/>
      <c r="F231" s="2477"/>
      <c r="G231" s="2477"/>
      <c r="I231" s="2463"/>
      <c r="J231" s="2463"/>
      <c r="K231" s="2463"/>
      <c r="L231" s="1005"/>
      <c r="N231" s="2518"/>
      <c r="O231" s="2518"/>
      <c r="P231" s="2518"/>
      <c r="Q231" s="2518"/>
      <c r="R231" s="2518"/>
      <c r="T231" s="2622"/>
      <c r="U231" s="2622"/>
      <c r="V231" s="2622"/>
      <c r="W231" s="2622"/>
      <c r="X231" s="2622"/>
      <c r="Y231" s="2622"/>
      <c r="Z231" s="842"/>
      <c r="AA231" s="842"/>
      <c r="AB231" s="2462">
        <f t="shared" si="0"/>
        <v>0</v>
      </c>
      <c r="AC231" s="2462"/>
      <c r="AD231" s="2462"/>
      <c r="AE231" s="2462"/>
      <c r="AF231" s="2462"/>
      <c r="AG231" s="2462"/>
      <c r="AH231" s="818"/>
      <c r="AI231" s="818"/>
      <c r="AJ231" s="818"/>
      <c r="AK231" s="603"/>
    </row>
    <row r="232" spans="1:37" hidden="1">
      <c r="A232" s="598"/>
      <c r="B232" s="2477" t="s">
        <v>1181</v>
      </c>
      <c r="C232" s="2477"/>
      <c r="D232" s="2477"/>
      <c r="E232" s="2477"/>
      <c r="F232" s="2477"/>
      <c r="G232" s="2477"/>
      <c r="I232" s="2464"/>
      <c r="J232" s="2464"/>
      <c r="K232" s="2464"/>
      <c r="L232" s="1005"/>
      <c r="N232" s="2518"/>
      <c r="O232" s="2518"/>
      <c r="P232" s="2518"/>
      <c r="Q232" s="2518"/>
      <c r="R232" s="2518"/>
      <c r="T232" s="2622"/>
      <c r="U232" s="2622"/>
      <c r="V232" s="2622"/>
      <c r="W232" s="2622"/>
      <c r="X232" s="2622"/>
      <c r="Y232" s="2622"/>
      <c r="Z232" s="842"/>
      <c r="AA232" s="842"/>
      <c r="AB232" s="2631">
        <f t="shared" si="0"/>
        <v>0</v>
      </c>
      <c r="AC232" s="2631"/>
      <c r="AD232" s="2631"/>
      <c r="AE232" s="2631"/>
      <c r="AF232" s="2631"/>
      <c r="AG232" s="2631"/>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62">
        <f>SUM(AB223:AB232)</f>
        <v>0</v>
      </c>
      <c r="AC233" s="2462"/>
      <c r="AD233" s="2462"/>
      <c r="AE233" s="2462"/>
      <c r="AF233" s="2462"/>
      <c r="AG233" s="2462"/>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2"/>
      <c r="AC239" s="2632"/>
      <c r="AD239" s="2632"/>
      <c r="AE239" s="2632"/>
      <c r="AF239" s="2632"/>
      <c r="AG239" s="2632"/>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2"/>
      <c r="AC242" s="2632"/>
      <c r="AD242" s="2632"/>
      <c r="AE242" s="2632"/>
      <c r="AF242" s="2632"/>
      <c r="AG242" s="2632"/>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3"/>
      <c r="AC243" s="2643"/>
      <c r="AD243" s="2643"/>
      <c r="AE243" s="2643"/>
      <c r="AF243" s="2643"/>
      <c r="AG243" s="2643"/>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6">
        <f>IFERROR(AB242/AB243,0)</f>
        <v>0</v>
      </c>
      <c r="AC244" s="2656"/>
      <c r="AD244" s="2656"/>
      <c r="AE244" s="2656"/>
      <c r="AF244" s="2656"/>
      <c r="AG244" s="2656"/>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1">
        <f>MAX(AB239,AB244)</f>
        <v>0</v>
      </c>
      <c r="AC246" s="2631"/>
      <c r="AD246" s="2631"/>
      <c r="AE246" s="2631"/>
      <c r="AF246" s="2631"/>
      <c r="AG246" s="2631"/>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2">
        <f>AB233+AB246</f>
        <v>0</v>
      </c>
      <c r="AC249" s="2462"/>
      <c r="AD249" s="2462"/>
      <c r="AE249" s="2462"/>
      <c r="AF249" s="2462"/>
      <c r="AG249" s="2462"/>
      <c r="AH249" s="603"/>
      <c r="AI249" s="603"/>
      <c r="AJ249" s="603"/>
      <c r="AK249" s="603"/>
    </row>
    <row r="250" spans="1:37" hidden="1">
      <c r="A250" s="598"/>
      <c r="B250" s="472" t="s">
        <v>836</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1">
        <v>0.05</v>
      </c>
      <c r="AC250" s="2511"/>
      <c r="AD250" s="2511"/>
      <c r="AE250" s="2511"/>
      <c r="AF250" s="2511"/>
      <c r="AG250" s="2511"/>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2">
        <f>AB249-(AB249*AB250)</f>
        <v>0</v>
      </c>
      <c r="AC251" s="2512"/>
      <c r="AD251" s="2512"/>
      <c r="AE251" s="2512"/>
      <c r="AF251" s="2512"/>
      <c r="AG251" s="2512"/>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2">
        <f>AB251/AB257</f>
        <v>0</v>
      </c>
      <c r="AC253" s="2462"/>
      <c r="AD253" s="2462"/>
      <c r="AE253" s="2462"/>
      <c r="AF253" s="2462"/>
      <c r="AG253" s="2462"/>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1">
        <v>15</v>
      </c>
      <c r="AC255" s="2471"/>
      <c r="AD255" s="2471"/>
      <c r="AE255" s="2471"/>
      <c r="AF255" s="2471"/>
      <c r="AG255" s="2471"/>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3">
        <v>0.04</v>
      </c>
      <c r="AC256" s="2513"/>
      <c r="AD256" s="2513"/>
      <c r="AE256" s="2513"/>
      <c r="AF256" s="2513"/>
      <c r="AG256" s="2513"/>
      <c r="AH256" s="603"/>
      <c r="AI256" s="603"/>
      <c r="AJ256" s="603"/>
      <c r="AK256" s="603"/>
    </row>
    <row r="257" spans="1:39" hidden="1">
      <c r="A257" s="598"/>
      <c r="B257" s="472" t="s">
        <v>848</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0">
        <v>1.1499999999999999</v>
      </c>
      <c r="AC257" s="2520"/>
      <c r="AD257" s="2520"/>
      <c r="AE257" s="2520"/>
      <c r="AF257" s="2520"/>
      <c r="AG257" s="2520"/>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4">
        <f>PV(AB256/12,AB255*12,-AB253/12, ,0)</f>
        <v>0</v>
      </c>
      <c r="AC259" s="2505"/>
      <c r="AD259" s="2505"/>
      <c r="AE259" s="2505"/>
      <c r="AF259" s="2505"/>
      <c r="AG259" s="2506"/>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8">
        <f>IFERROR(('Sources and Uses Budget'!D105/'Sources and Uses Budget'!B105),0)</f>
        <v>0</v>
      </c>
      <c r="AC265" s="2509"/>
      <c r="AD265" s="2509"/>
      <c r="AE265" s="2509"/>
      <c r="AF265" s="2509"/>
      <c r="AG265" s="2510"/>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8">
        <f>AD210*(1-AB265)</f>
        <v>0</v>
      </c>
      <c r="AH267" s="2498"/>
      <c r="AI267" s="2498"/>
      <c r="AJ267" s="2498"/>
      <c r="AK267" s="2498"/>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8">
        <f>'Sources and Uses Budget'!C105</f>
        <v>79917904</v>
      </c>
      <c r="AH268" s="2498"/>
      <c r="AI268" s="2498"/>
      <c r="AJ268" s="2498"/>
      <c r="AK268" s="2498"/>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99">
        <f>ROUNDDOWN(IF(AND(C305="Yes",AK83=10),((AG267*2)/AG268),AG267/AG268),2)</f>
        <v>0</v>
      </c>
      <c r="AH269" s="2499"/>
      <c r="AI269" s="2499"/>
      <c r="AJ269" s="2499"/>
      <c r="AK269" s="2499"/>
    </row>
    <row r="270" spans="1:39"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500">
        <f>IFERROR(IF(AG269=0,0,IF((AG269*100)&gt;8,8,(AG269*100))),0)</f>
        <v>0</v>
      </c>
      <c r="AL272" s="2500"/>
      <c r="AM272" s="2501"/>
    </row>
    <row r="273" spans="1:52" ht="13.8"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65" customHeight="1">
      <c r="A279" s="544"/>
      <c r="B279" s="589"/>
      <c r="C279" s="2492" t="s">
        <v>543</v>
      </c>
      <c r="D279" s="2492"/>
      <c r="E279" s="541"/>
      <c r="F279" s="2647" t="s">
        <v>2556</v>
      </c>
      <c r="G279" s="2648"/>
      <c r="H279" s="2648"/>
      <c r="I279" s="2648"/>
      <c r="J279" s="2648"/>
      <c r="K279" s="2648"/>
      <c r="L279" s="2648"/>
      <c r="M279" s="2648"/>
      <c r="N279" s="2648"/>
      <c r="O279" s="2648"/>
      <c r="P279" s="2648"/>
      <c r="Q279" s="2648"/>
      <c r="R279" s="2648"/>
      <c r="S279" s="2648"/>
      <c r="T279" s="2648"/>
      <c r="U279" s="2648"/>
      <c r="V279" s="2648"/>
      <c r="W279" s="2648"/>
      <c r="X279" s="2648"/>
      <c r="Y279" s="2648"/>
      <c r="Z279" s="2648"/>
      <c r="AA279" s="2648"/>
      <c r="AB279" s="2648"/>
      <c r="AC279" s="2648"/>
      <c r="AD279" s="2649"/>
      <c r="AE279" s="544"/>
      <c r="AF279" s="628"/>
      <c r="AG279" s="2493" t="s">
        <v>1354</v>
      </c>
      <c r="AH279" s="2493"/>
      <c r="AI279" s="2493"/>
      <c r="AJ279" s="2493"/>
      <c r="AK279" s="544"/>
      <c r="AL279" s="544"/>
      <c r="AM279" s="544"/>
      <c r="AO279" s="544"/>
    </row>
    <row r="280" spans="1:52" ht="13.65" customHeight="1">
      <c r="A280" s="544"/>
      <c r="B280" s="589"/>
      <c r="C280" s="629"/>
      <c r="D280" s="544"/>
      <c r="E280" s="541"/>
      <c r="F280" s="2650"/>
      <c r="G280" s="2651"/>
      <c r="H280" s="2651"/>
      <c r="I280" s="2651"/>
      <c r="J280" s="2651"/>
      <c r="K280" s="2651"/>
      <c r="L280" s="2651"/>
      <c r="M280" s="2651"/>
      <c r="N280" s="2651"/>
      <c r="O280" s="2651"/>
      <c r="P280" s="2651"/>
      <c r="Q280" s="2651"/>
      <c r="R280" s="2651"/>
      <c r="S280" s="2651"/>
      <c r="T280" s="2651"/>
      <c r="U280" s="2651"/>
      <c r="V280" s="2651"/>
      <c r="W280" s="2651"/>
      <c r="X280" s="2651"/>
      <c r="Y280" s="2651"/>
      <c r="Z280" s="2651"/>
      <c r="AA280" s="2651"/>
      <c r="AB280" s="2651"/>
      <c r="AC280" s="2651"/>
      <c r="AD280" s="2652"/>
      <c r="AE280" s="544"/>
      <c r="AF280" s="628"/>
      <c r="AG280" s="628"/>
      <c r="AH280" s="628"/>
      <c r="AI280" s="628"/>
      <c r="AJ280" s="544"/>
      <c r="AK280" s="544"/>
      <c r="AL280" s="544"/>
      <c r="AM280" s="544"/>
      <c r="AO280" s="544"/>
    </row>
    <row r="281" spans="1:52" ht="13.65" customHeight="1">
      <c r="A281" s="544"/>
      <c r="B281" s="589"/>
      <c r="C281" s="629"/>
      <c r="D281" s="544"/>
      <c r="E281" s="541"/>
      <c r="F281" s="2650"/>
      <c r="G281" s="2651"/>
      <c r="H281" s="2651"/>
      <c r="I281" s="2651"/>
      <c r="J281" s="2651"/>
      <c r="K281" s="2651"/>
      <c r="L281" s="2651"/>
      <c r="M281" s="2651"/>
      <c r="N281" s="2651"/>
      <c r="O281" s="2651"/>
      <c r="P281" s="2651"/>
      <c r="Q281" s="2651"/>
      <c r="R281" s="2651"/>
      <c r="S281" s="2651"/>
      <c r="T281" s="2651"/>
      <c r="U281" s="2651"/>
      <c r="V281" s="2651"/>
      <c r="W281" s="2651"/>
      <c r="X281" s="2651"/>
      <c r="Y281" s="2651"/>
      <c r="Z281" s="2651"/>
      <c r="AA281" s="2651"/>
      <c r="AB281" s="2651"/>
      <c r="AC281" s="2651"/>
      <c r="AD281" s="2652"/>
      <c r="AE281" s="544"/>
      <c r="AF281" s="628"/>
      <c r="AG281" s="628"/>
      <c r="AH281" s="628"/>
      <c r="AI281" s="628"/>
      <c r="AJ281" s="544"/>
      <c r="AK281" s="544"/>
      <c r="AL281" s="544"/>
      <c r="AM281" s="544"/>
      <c r="AO281" s="544"/>
    </row>
    <row r="282" spans="1:52" ht="13.65" customHeight="1">
      <c r="A282" s="544"/>
      <c r="B282" s="589"/>
      <c r="C282" s="629"/>
      <c r="D282" s="544"/>
      <c r="E282" s="541"/>
      <c r="F282" s="2650"/>
      <c r="G282" s="2651"/>
      <c r="H282" s="2651"/>
      <c r="I282" s="2651"/>
      <c r="J282" s="2651"/>
      <c r="K282" s="2651"/>
      <c r="L282" s="2651"/>
      <c r="M282" s="2651"/>
      <c r="N282" s="2651"/>
      <c r="O282" s="2651"/>
      <c r="P282" s="2651"/>
      <c r="Q282" s="2651"/>
      <c r="R282" s="2651"/>
      <c r="S282" s="2651"/>
      <c r="T282" s="2651"/>
      <c r="U282" s="2651"/>
      <c r="V282" s="2651"/>
      <c r="W282" s="2651"/>
      <c r="X282" s="2651"/>
      <c r="Y282" s="2651"/>
      <c r="Z282" s="2651"/>
      <c r="AA282" s="2651"/>
      <c r="AB282" s="2651"/>
      <c r="AC282" s="2651"/>
      <c r="AD282" s="2652"/>
      <c r="AE282" s="544"/>
      <c r="AF282" s="628"/>
      <c r="AG282" s="628"/>
      <c r="AH282" s="628"/>
      <c r="AI282" s="628"/>
      <c r="AJ282" s="544"/>
      <c r="AK282" s="544"/>
      <c r="AL282" s="544"/>
      <c r="AM282" s="544"/>
      <c r="AO282" s="544"/>
    </row>
    <row r="283" spans="1:52" ht="13.65" customHeight="1">
      <c r="A283" s="544"/>
      <c r="B283" s="589"/>
      <c r="C283" s="629"/>
      <c r="D283" s="544"/>
      <c r="E283" s="541"/>
      <c r="F283" s="2650"/>
      <c r="G283" s="2651"/>
      <c r="H283" s="2651"/>
      <c r="I283" s="2651"/>
      <c r="J283" s="2651"/>
      <c r="K283" s="2651"/>
      <c r="L283" s="2651"/>
      <c r="M283" s="2651"/>
      <c r="N283" s="2651"/>
      <c r="O283" s="2651"/>
      <c r="P283" s="2651"/>
      <c r="Q283" s="2651"/>
      <c r="R283" s="2651"/>
      <c r="S283" s="2651"/>
      <c r="T283" s="2651"/>
      <c r="U283" s="2651"/>
      <c r="V283" s="2651"/>
      <c r="W283" s="2651"/>
      <c r="X283" s="2651"/>
      <c r="Y283" s="2651"/>
      <c r="Z283" s="2651"/>
      <c r="AA283" s="2651"/>
      <c r="AB283" s="2651"/>
      <c r="AC283" s="2651"/>
      <c r="AD283" s="2652"/>
      <c r="AE283" s="544"/>
      <c r="AF283" s="628"/>
      <c r="AG283" s="628"/>
      <c r="AH283" s="628"/>
      <c r="AI283" s="628"/>
      <c r="AJ283" s="544"/>
      <c r="AK283" s="544"/>
      <c r="AL283" s="544"/>
      <c r="AM283" s="544"/>
      <c r="AO283" s="544"/>
    </row>
    <row r="284" spans="1:52">
      <c r="A284" s="544"/>
      <c r="B284" s="589"/>
      <c r="C284" s="629"/>
      <c r="D284" s="544"/>
      <c r="E284" s="541"/>
      <c r="F284" s="2650"/>
      <c r="G284" s="2651"/>
      <c r="H284" s="2651"/>
      <c r="I284" s="2651"/>
      <c r="J284" s="2651"/>
      <c r="K284" s="2651"/>
      <c r="L284" s="2651"/>
      <c r="M284" s="2651"/>
      <c r="N284" s="2651"/>
      <c r="O284" s="2651"/>
      <c r="P284" s="2651"/>
      <c r="Q284" s="2651"/>
      <c r="R284" s="2651"/>
      <c r="S284" s="2651"/>
      <c r="T284" s="2651"/>
      <c r="U284" s="2651"/>
      <c r="V284" s="2651"/>
      <c r="W284" s="2651"/>
      <c r="X284" s="2651"/>
      <c r="Y284" s="2651"/>
      <c r="Z284" s="2651"/>
      <c r="AA284" s="2651"/>
      <c r="AB284" s="2651"/>
      <c r="AC284" s="2651"/>
      <c r="AD284" s="2652"/>
      <c r="AE284" s="544"/>
      <c r="AF284" s="628"/>
      <c r="AG284" s="628"/>
      <c r="AH284" s="628"/>
      <c r="AI284" s="628"/>
      <c r="AJ284" s="544"/>
      <c r="AK284" s="544"/>
      <c r="AL284" s="544"/>
      <c r="AM284" s="544"/>
      <c r="AO284" s="544"/>
      <c r="AP284" s="630"/>
    </row>
    <row r="285" spans="1:52">
      <c r="A285" s="544"/>
      <c r="B285" s="589"/>
      <c r="C285" s="629"/>
      <c r="D285" s="544"/>
      <c r="E285" s="541"/>
      <c r="F285" s="2650"/>
      <c r="G285" s="2651"/>
      <c r="H285" s="2651"/>
      <c r="I285" s="2651"/>
      <c r="J285" s="2651"/>
      <c r="K285" s="2651"/>
      <c r="L285" s="2651"/>
      <c r="M285" s="2651"/>
      <c r="N285" s="2651"/>
      <c r="O285" s="2651"/>
      <c r="P285" s="2651"/>
      <c r="Q285" s="2651"/>
      <c r="R285" s="2651"/>
      <c r="S285" s="2651"/>
      <c r="T285" s="2651"/>
      <c r="U285" s="2651"/>
      <c r="V285" s="2651"/>
      <c r="W285" s="2651"/>
      <c r="X285" s="2651"/>
      <c r="Y285" s="2651"/>
      <c r="Z285" s="2651"/>
      <c r="AA285" s="2651"/>
      <c r="AB285" s="2651"/>
      <c r="AC285" s="2651"/>
      <c r="AD285" s="2652"/>
      <c r="AE285" s="544"/>
      <c r="AF285" s="628"/>
      <c r="AG285" s="628"/>
      <c r="AH285" s="628"/>
      <c r="AI285" s="628"/>
      <c r="AJ285" s="544"/>
      <c r="AK285" s="544"/>
      <c r="AL285" s="544"/>
      <c r="AM285" s="544"/>
      <c r="AO285" s="544"/>
      <c r="AP285" s="630"/>
    </row>
    <row r="286" spans="1:52" ht="13.65" customHeight="1">
      <c r="A286" s="544"/>
      <c r="B286" s="589"/>
      <c r="C286" s="2494"/>
      <c r="D286" s="2494"/>
      <c r="E286" s="541"/>
      <c r="F286" s="2653"/>
      <c r="G286" s="2654"/>
      <c r="H286" s="2654"/>
      <c r="I286" s="2654"/>
      <c r="J286" s="2654"/>
      <c r="K286" s="2654"/>
      <c r="L286" s="2654"/>
      <c r="M286" s="2654"/>
      <c r="N286" s="2654"/>
      <c r="O286" s="2654"/>
      <c r="P286" s="2654"/>
      <c r="Q286" s="2654"/>
      <c r="R286" s="2654"/>
      <c r="S286" s="2654"/>
      <c r="T286" s="2654"/>
      <c r="U286" s="2654"/>
      <c r="V286" s="2654"/>
      <c r="W286" s="2654"/>
      <c r="X286" s="2654"/>
      <c r="Y286" s="2654"/>
      <c r="Z286" s="2654"/>
      <c r="AA286" s="2654"/>
      <c r="AB286" s="2654"/>
      <c r="AC286" s="2654"/>
      <c r="AD286" s="2655"/>
      <c r="AE286" s="544"/>
      <c r="AF286" s="628"/>
      <c r="AG286" s="2493"/>
      <c r="AH286" s="2493"/>
      <c r="AI286" s="2493"/>
      <c r="AJ286" s="2493"/>
      <c r="AK286" s="544"/>
      <c r="AL286" s="544"/>
      <c r="AM286" s="544"/>
    </row>
    <row r="287" spans="1:52" ht="13.6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8" t="s">
        <v>2563</v>
      </c>
      <c r="C289" s="2408"/>
      <c r="D289" s="2408"/>
      <c r="E289" s="2408"/>
      <c r="F289" s="2408"/>
      <c r="G289" s="2408"/>
      <c r="H289" s="2408"/>
      <c r="I289" s="2408"/>
      <c r="J289" s="2408"/>
      <c r="K289" s="2408"/>
      <c r="L289" s="2408"/>
      <c r="M289" s="2408"/>
      <c r="N289" s="2408"/>
      <c r="O289" s="2408"/>
      <c r="P289" s="2408"/>
      <c r="Q289" s="2408"/>
      <c r="R289" s="2408"/>
      <c r="S289" s="2408"/>
      <c r="T289" s="2408"/>
      <c r="U289" s="2408"/>
      <c r="V289" s="2408"/>
      <c r="W289" s="2408"/>
      <c r="X289" s="2408"/>
      <c r="Y289" s="2408"/>
      <c r="Z289" s="2408"/>
      <c r="AA289" s="2408"/>
      <c r="AB289" s="2408"/>
      <c r="AC289" s="2408"/>
      <c r="AD289" s="2408"/>
      <c r="AE289" s="2408"/>
      <c r="AF289" s="2408"/>
      <c r="AG289" s="2408"/>
      <c r="AH289" s="2408"/>
      <c r="AI289" s="2408"/>
      <c r="AJ289" s="2408"/>
      <c r="AK289" s="2408"/>
      <c r="AL289" s="2408"/>
      <c r="AM289" s="544"/>
      <c r="AN289" s="73"/>
    </row>
    <row r="290" spans="1:49">
      <c r="A290" s="544"/>
      <c r="B290" s="2408"/>
      <c r="C290" s="2408"/>
      <c r="D290" s="2408"/>
      <c r="E290" s="2408"/>
      <c r="F290" s="2408"/>
      <c r="G290" s="2408"/>
      <c r="H290" s="2408"/>
      <c r="I290" s="2408"/>
      <c r="J290" s="2408"/>
      <c r="K290" s="2408"/>
      <c r="L290" s="2408"/>
      <c r="M290" s="2408"/>
      <c r="N290" s="2408"/>
      <c r="O290" s="2408"/>
      <c r="P290" s="2408"/>
      <c r="Q290" s="2408"/>
      <c r="R290" s="2408"/>
      <c r="S290" s="2408"/>
      <c r="T290" s="2408"/>
      <c r="U290" s="2408"/>
      <c r="V290" s="2408"/>
      <c r="W290" s="2408"/>
      <c r="X290" s="2408"/>
      <c r="Y290" s="2408"/>
      <c r="Z290" s="2408"/>
      <c r="AA290" s="2408"/>
      <c r="AB290" s="2408"/>
      <c r="AC290" s="2408"/>
      <c r="AD290" s="2408"/>
      <c r="AE290" s="2408"/>
      <c r="AF290" s="2408"/>
      <c r="AG290" s="2408"/>
      <c r="AH290" s="2408"/>
      <c r="AI290" s="2408"/>
      <c r="AJ290" s="2408"/>
      <c r="AK290" s="2408"/>
      <c r="AL290" s="2408"/>
      <c r="AM290" s="544"/>
      <c r="AN290" s="73"/>
    </row>
    <row r="291" spans="1:49">
      <c r="A291" s="544"/>
      <c r="B291" s="2408"/>
      <c r="C291" s="2408"/>
      <c r="D291" s="2408"/>
      <c r="E291" s="2408"/>
      <c r="F291" s="2408"/>
      <c r="G291" s="2408"/>
      <c r="H291" s="2408"/>
      <c r="I291" s="2408"/>
      <c r="J291" s="2408"/>
      <c r="K291" s="2408"/>
      <c r="L291" s="2408"/>
      <c r="M291" s="2408"/>
      <c r="N291" s="2408"/>
      <c r="O291" s="2408"/>
      <c r="P291" s="2408"/>
      <c r="Q291" s="2408"/>
      <c r="R291" s="2408"/>
      <c r="S291" s="2408"/>
      <c r="T291" s="2408"/>
      <c r="U291" s="2408"/>
      <c r="V291" s="2408"/>
      <c r="W291" s="2408"/>
      <c r="X291" s="2408"/>
      <c r="Y291" s="2408"/>
      <c r="Z291" s="2408"/>
      <c r="AA291" s="2408"/>
      <c r="AB291" s="2408"/>
      <c r="AC291" s="2408"/>
      <c r="AD291" s="2408"/>
      <c r="AE291" s="2408"/>
      <c r="AF291" s="2408"/>
      <c r="AG291" s="2408"/>
      <c r="AH291" s="2408"/>
      <c r="AI291" s="2408"/>
      <c r="AJ291" s="2408"/>
      <c r="AK291" s="2408"/>
      <c r="AL291" s="2408"/>
      <c r="AM291" s="544"/>
      <c r="AN291" s="73"/>
    </row>
    <row r="292" spans="1:49">
      <c r="A292" s="544"/>
      <c r="B292" s="2408"/>
      <c r="C292" s="2408"/>
      <c r="D292" s="2408"/>
      <c r="E292" s="2408"/>
      <c r="F292" s="2408"/>
      <c r="G292" s="2408"/>
      <c r="H292" s="2408"/>
      <c r="I292" s="2408"/>
      <c r="J292" s="2408"/>
      <c r="K292" s="2408"/>
      <c r="L292" s="2408"/>
      <c r="M292" s="2408"/>
      <c r="N292" s="2408"/>
      <c r="O292" s="2408"/>
      <c r="P292" s="2408"/>
      <c r="Q292" s="2408"/>
      <c r="R292" s="2408"/>
      <c r="S292" s="2408"/>
      <c r="T292" s="2408"/>
      <c r="U292" s="2408"/>
      <c r="V292" s="2408"/>
      <c r="W292" s="2408"/>
      <c r="X292" s="2408"/>
      <c r="Y292" s="2408"/>
      <c r="Z292" s="2408"/>
      <c r="AA292" s="2408"/>
      <c r="AB292" s="2408"/>
      <c r="AC292" s="2408"/>
      <c r="AD292" s="2408"/>
      <c r="AE292" s="2408"/>
      <c r="AF292" s="2408"/>
      <c r="AG292" s="2408"/>
      <c r="AH292" s="2408"/>
      <c r="AI292" s="2408"/>
      <c r="AJ292" s="2408"/>
      <c r="AK292" s="2408"/>
      <c r="AL292" s="2408"/>
      <c r="AM292" s="544"/>
      <c r="AN292" s="73"/>
    </row>
    <row r="293" spans="1:49">
      <c r="A293" s="544"/>
      <c r="B293" s="2408"/>
      <c r="C293" s="2408"/>
      <c r="D293" s="2408"/>
      <c r="E293" s="2408"/>
      <c r="F293" s="2408"/>
      <c r="G293" s="2408"/>
      <c r="H293" s="2408"/>
      <c r="I293" s="2408"/>
      <c r="J293" s="2408"/>
      <c r="K293" s="2408"/>
      <c r="L293" s="2408"/>
      <c r="M293" s="2408"/>
      <c r="N293" s="2408"/>
      <c r="O293" s="2408"/>
      <c r="P293" s="2408"/>
      <c r="Q293" s="2408"/>
      <c r="R293" s="2408"/>
      <c r="S293" s="2408"/>
      <c r="T293" s="2408"/>
      <c r="U293" s="2408"/>
      <c r="V293" s="2408"/>
      <c r="W293" s="2408"/>
      <c r="X293" s="2408"/>
      <c r="Y293" s="2408"/>
      <c r="Z293" s="2408"/>
      <c r="AA293" s="2408"/>
      <c r="AB293" s="2408"/>
      <c r="AC293" s="2408"/>
      <c r="AD293" s="2408"/>
      <c r="AE293" s="2408"/>
      <c r="AF293" s="2408"/>
      <c r="AG293" s="2408"/>
      <c r="AH293" s="2408"/>
      <c r="AI293" s="2408"/>
      <c r="AJ293" s="2408"/>
      <c r="AK293" s="2408"/>
      <c r="AL293" s="2408"/>
      <c r="AM293" s="544"/>
      <c r="AN293" s="73"/>
    </row>
    <row r="294" spans="1:49">
      <c r="A294" s="544"/>
      <c r="B294" s="2408"/>
      <c r="C294" s="2408"/>
      <c r="D294" s="2408"/>
      <c r="E294" s="2408"/>
      <c r="F294" s="2408"/>
      <c r="G294" s="2408"/>
      <c r="H294" s="2408"/>
      <c r="I294" s="2408"/>
      <c r="J294" s="2408"/>
      <c r="K294" s="2408"/>
      <c r="L294" s="2408"/>
      <c r="M294" s="2408"/>
      <c r="N294" s="2408"/>
      <c r="O294" s="2408"/>
      <c r="P294" s="2408"/>
      <c r="Q294" s="2408"/>
      <c r="R294" s="2408"/>
      <c r="S294" s="2408"/>
      <c r="T294" s="2408"/>
      <c r="U294" s="2408"/>
      <c r="V294" s="2408"/>
      <c r="W294" s="2408"/>
      <c r="X294" s="2408"/>
      <c r="Y294" s="2408"/>
      <c r="Z294" s="2408"/>
      <c r="AA294" s="2408"/>
      <c r="AB294" s="2408"/>
      <c r="AC294" s="2408"/>
      <c r="AD294" s="2408"/>
      <c r="AE294" s="2408"/>
      <c r="AF294" s="2408"/>
      <c r="AG294" s="2408"/>
      <c r="AH294" s="2408"/>
      <c r="AI294" s="2408"/>
      <c r="AJ294" s="2408"/>
      <c r="AK294" s="2408"/>
      <c r="AL294" s="2408"/>
      <c r="AM294" s="544"/>
      <c r="AN294" s="73"/>
    </row>
    <row r="295" spans="1:49">
      <c r="A295" s="544"/>
      <c r="B295" s="2408"/>
      <c r="C295" s="2408"/>
      <c r="D295" s="2408"/>
      <c r="E295" s="2408"/>
      <c r="F295" s="2408"/>
      <c r="G295" s="2408"/>
      <c r="H295" s="2408"/>
      <c r="I295" s="2408"/>
      <c r="J295" s="2408"/>
      <c r="K295" s="2408"/>
      <c r="L295" s="2408"/>
      <c r="M295" s="2408"/>
      <c r="N295" s="2408"/>
      <c r="O295" s="2408"/>
      <c r="P295" s="2408"/>
      <c r="Q295" s="2408"/>
      <c r="R295" s="2408"/>
      <c r="S295" s="2408"/>
      <c r="T295" s="2408"/>
      <c r="U295" s="2408"/>
      <c r="V295" s="2408"/>
      <c r="W295" s="2408"/>
      <c r="X295" s="2408"/>
      <c r="Y295" s="2408"/>
      <c r="Z295" s="2408"/>
      <c r="AA295" s="2408"/>
      <c r="AB295" s="2408"/>
      <c r="AC295" s="2408"/>
      <c r="AD295" s="2408"/>
      <c r="AE295" s="2408"/>
      <c r="AF295" s="2408"/>
      <c r="AG295" s="2408"/>
      <c r="AH295" s="2408"/>
      <c r="AI295" s="2408"/>
      <c r="AJ295" s="2408"/>
      <c r="AK295" s="2408"/>
      <c r="AL295" s="2408"/>
      <c r="AM295" s="544"/>
      <c r="AN295" s="73"/>
    </row>
    <row r="296" spans="1:49">
      <c r="A296" s="544"/>
      <c r="B296" s="2408"/>
      <c r="C296" s="2408"/>
      <c r="D296" s="2408"/>
      <c r="E296" s="2408"/>
      <c r="F296" s="2408"/>
      <c r="G296" s="2408"/>
      <c r="H296" s="2408"/>
      <c r="I296" s="2408"/>
      <c r="J296" s="2408"/>
      <c r="K296" s="2408"/>
      <c r="L296" s="2408"/>
      <c r="M296" s="2408"/>
      <c r="N296" s="2408"/>
      <c r="O296" s="2408"/>
      <c r="P296" s="2408"/>
      <c r="Q296" s="2408"/>
      <c r="R296" s="2408"/>
      <c r="S296" s="2408"/>
      <c r="T296" s="2408"/>
      <c r="U296" s="2408"/>
      <c r="V296" s="2408"/>
      <c r="W296" s="2408"/>
      <c r="X296" s="2408"/>
      <c r="Y296" s="2408"/>
      <c r="Z296" s="2408"/>
      <c r="AA296" s="2408"/>
      <c r="AB296" s="2408"/>
      <c r="AC296" s="2408"/>
      <c r="AD296" s="2408"/>
      <c r="AE296" s="2408"/>
      <c r="AF296" s="2408"/>
      <c r="AG296" s="2408"/>
      <c r="AH296" s="2408"/>
      <c r="AI296" s="2408"/>
      <c r="AJ296" s="2408"/>
      <c r="AK296" s="2408"/>
      <c r="AL296" s="2408"/>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500">
        <f>IF($C$279="yes",10,0)</f>
        <v>10</v>
      </c>
      <c r="AL298" s="2500"/>
      <c r="AM298" s="2501"/>
      <c r="AN298" s="73"/>
    </row>
    <row r="299" spans="1:49" ht="13.8" thickBot="1"/>
    <row r="300" spans="1:49" ht="13.8"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2557</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749" t="s">
        <v>1371</v>
      </c>
      <c r="B305" s="1749"/>
      <c r="C305" s="2482" t="s">
        <v>589</v>
      </c>
      <c r="D305" s="2492"/>
      <c r="E305" s="541"/>
      <c r="F305" s="2514" t="s">
        <v>1372</v>
      </c>
      <c r="G305" s="2515"/>
      <c r="H305" s="2515"/>
      <c r="I305" s="2515"/>
      <c r="J305" s="2515"/>
      <c r="K305" s="2515"/>
      <c r="L305" s="2515"/>
      <c r="M305" s="2515"/>
      <c r="N305" s="2515"/>
      <c r="O305" s="2515"/>
      <c r="P305" s="2515"/>
      <c r="Q305" s="2515"/>
      <c r="R305" s="2515"/>
      <c r="S305" s="2515"/>
      <c r="T305" s="2515"/>
      <c r="U305" s="2515"/>
      <c r="V305" s="2515"/>
      <c r="W305" s="2515"/>
      <c r="X305" s="2515"/>
      <c r="Y305" s="2515"/>
      <c r="Z305" s="2515"/>
      <c r="AA305" s="2515"/>
      <c r="AB305" s="2515"/>
      <c r="AC305" s="2515"/>
      <c r="AD305" s="2516"/>
      <c r="AE305" s="635"/>
      <c r="AF305" s="544"/>
      <c r="AG305" s="2517" t="s">
        <v>1974</v>
      </c>
      <c r="AH305" s="2517"/>
      <c r="AI305" s="2517"/>
      <c r="AJ305" s="2517"/>
      <c r="AK305" s="2517"/>
      <c r="AL305" s="544"/>
      <c r="AM305" s="544"/>
      <c r="AN305" s="73"/>
      <c r="AO305" s="14"/>
      <c r="AP305" s="30"/>
      <c r="AS305" s="563"/>
      <c r="AT305" s="563"/>
      <c r="AU305" s="563"/>
      <c r="AV305" s="32"/>
      <c r="AW305" s="32"/>
    </row>
    <row r="306" spans="1:49">
      <c r="A306" s="633"/>
      <c r="B306" s="589"/>
      <c r="F306" s="2486"/>
      <c r="G306" s="2487"/>
      <c r="H306" s="2487"/>
      <c r="I306" s="2487"/>
      <c r="J306" s="2487"/>
      <c r="K306" s="2487"/>
      <c r="L306" s="2487"/>
      <c r="M306" s="2487"/>
      <c r="N306" s="2487"/>
      <c r="O306" s="2487"/>
      <c r="P306" s="2487"/>
      <c r="Q306" s="2487"/>
      <c r="R306" s="2487"/>
      <c r="S306" s="2487"/>
      <c r="T306" s="2487"/>
      <c r="U306" s="2487"/>
      <c r="V306" s="2487"/>
      <c r="W306" s="2487"/>
      <c r="X306" s="2487"/>
      <c r="Y306" s="2487"/>
      <c r="Z306" s="2487"/>
      <c r="AA306" s="2487"/>
      <c r="AB306" s="2487"/>
      <c r="AC306" s="2487"/>
      <c r="AD306" s="2488"/>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6"/>
      <c r="G307" s="2487"/>
      <c r="H307" s="2487"/>
      <c r="I307" s="2487"/>
      <c r="J307" s="2487"/>
      <c r="K307" s="2487"/>
      <c r="L307" s="2487"/>
      <c r="M307" s="2487"/>
      <c r="N307" s="2487"/>
      <c r="O307" s="2487"/>
      <c r="P307" s="2487"/>
      <c r="Q307" s="2487"/>
      <c r="R307" s="2487"/>
      <c r="S307" s="2487"/>
      <c r="T307" s="2487"/>
      <c r="U307" s="2487"/>
      <c r="V307" s="2487"/>
      <c r="W307" s="2487"/>
      <c r="X307" s="2487"/>
      <c r="Y307" s="2487"/>
      <c r="Z307" s="2487"/>
      <c r="AA307" s="2487"/>
      <c r="AB307" s="2487"/>
      <c r="AC307" s="2487"/>
      <c r="AD307" s="2488"/>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86" t="s">
        <v>1979</v>
      </c>
      <c r="G308" s="2487"/>
      <c r="H308" s="2487"/>
      <c r="I308" s="2487"/>
      <c r="J308" s="2487"/>
      <c r="K308" s="2487"/>
      <c r="L308" s="2487"/>
      <c r="M308" s="2487"/>
      <c r="N308" s="2487"/>
      <c r="O308" s="2487"/>
      <c r="P308" s="2487"/>
      <c r="Q308" s="2487"/>
      <c r="R308" s="2487"/>
      <c r="S308" s="2487"/>
      <c r="T308" s="2487"/>
      <c r="U308" s="2487"/>
      <c r="V308" s="2487"/>
      <c r="W308" s="2487"/>
      <c r="X308" s="2487"/>
      <c r="Y308" s="2487"/>
      <c r="Z308" s="2487"/>
      <c r="AA308" s="2487"/>
      <c r="AB308" s="2487"/>
      <c r="AC308" s="2487"/>
      <c r="AD308" s="2488"/>
      <c r="AE308" s="635"/>
      <c r="AF308" s="545"/>
      <c r="AH308" s="545"/>
      <c r="AI308" s="545"/>
      <c r="AJ308" s="544"/>
      <c r="AK308" s="544"/>
      <c r="AL308" s="544"/>
      <c r="AM308" s="544"/>
      <c r="AN308" s="73"/>
      <c r="AO308" s="14"/>
      <c r="AP308" s="604">
        <f>MAX(AP306,AP307)</f>
        <v>9</v>
      </c>
      <c r="AQ308" s="567" t="s">
        <v>1307</v>
      </c>
      <c r="AS308" s="563"/>
      <c r="AT308" s="563"/>
      <c r="AU308" s="563"/>
      <c r="AV308" s="32"/>
      <c r="AW308" s="32"/>
    </row>
    <row r="309" spans="1:49">
      <c r="A309" s="633"/>
      <c r="B309" s="589"/>
      <c r="F309" s="2486"/>
      <c r="G309" s="2487"/>
      <c r="H309" s="2487"/>
      <c r="I309" s="2487"/>
      <c r="J309" s="2487"/>
      <c r="K309" s="2487"/>
      <c r="L309" s="2487"/>
      <c r="M309" s="2487"/>
      <c r="N309" s="2487"/>
      <c r="O309" s="2487"/>
      <c r="P309" s="2487"/>
      <c r="Q309" s="2487"/>
      <c r="R309" s="2487"/>
      <c r="S309" s="2487"/>
      <c r="T309" s="2487"/>
      <c r="U309" s="2487"/>
      <c r="V309" s="2487"/>
      <c r="W309" s="2487"/>
      <c r="X309" s="2487"/>
      <c r="Y309" s="2487"/>
      <c r="Z309" s="2487"/>
      <c r="AA309" s="2487"/>
      <c r="AB309" s="2487"/>
      <c r="AC309" s="2487"/>
      <c r="AD309" s="2488"/>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6" t="s">
        <v>1373</v>
      </c>
      <c r="G310" s="2487"/>
      <c r="H310" s="2487"/>
      <c r="I310" s="2487"/>
      <c r="J310" s="2487"/>
      <c r="K310" s="2487"/>
      <c r="L310" s="2487"/>
      <c r="M310" s="2487"/>
      <c r="N310" s="2487"/>
      <c r="O310" s="2487"/>
      <c r="P310" s="2487"/>
      <c r="Q310" s="2487"/>
      <c r="R310" s="2487"/>
      <c r="S310" s="2487"/>
      <c r="T310" s="2487"/>
      <c r="U310" s="2487"/>
      <c r="V310" s="2487"/>
      <c r="W310" s="2487"/>
      <c r="X310" s="2487"/>
      <c r="Y310" s="2487"/>
      <c r="Z310" s="2487"/>
      <c r="AA310" s="2487"/>
      <c r="AB310" s="2487"/>
      <c r="AC310" s="2487"/>
      <c r="AD310" s="2488"/>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6"/>
      <c r="G311" s="2487"/>
      <c r="H311" s="2487"/>
      <c r="I311" s="2487"/>
      <c r="J311" s="2487"/>
      <c r="K311" s="2487"/>
      <c r="L311" s="2487"/>
      <c r="M311" s="2487"/>
      <c r="N311" s="2487"/>
      <c r="O311" s="2487"/>
      <c r="P311" s="2487"/>
      <c r="Q311" s="2487"/>
      <c r="R311" s="2487"/>
      <c r="S311" s="2487"/>
      <c r="T311" s="2487"/>
      <c r="U311" s="2487"/>
      <c r="V311" s="2487"/>
      <c r="W311" s="2487"/>
      <c r="X311" s="2487"/>
      <c r="Y311" s="2487"/>
      <c r="Z311" s="2487"/>
      <c r="AA311" s="2487"/>
      <c r="AB311" s="2487"/>
      <c r="AC311" s="2487"/>
      <c r="AD311" s="2488"/>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6" t="s">
        <v>1374</v>
      </c>
      <c r="G312" s="2487"/>
      <c r="H312" s="2487"/>
      <c r="I312" s="2487"/>
      <c r="J312" s="2487"/>
      <c r="K312" s="2487"/>
      <c r="L312" s="2487"/>
      <c r="M312" s="2487"/>
      <c r="N312" s="2487"/>
      <c r="O312" s="2487"/>
      <c r="P312" s="2487"/>
      <c r="Q312" s="2487"/>
      <c r="R312" s="2487"/>
      <c r="S312" s="2487"/>
      <c r="T312" s="2487"/>
      <c r="U312" s="2487"/>
      <c r="V312" s="2487"/>
      <c r="W312" s="2487"/>
      <c r="X312" s="2487"/>
      <c r="Y312" s="2487"/>
      <c r="Z312" s="2487"/>
      <c r="AA312" s="2487"/>
      <c r="AB312" s="2487"/>
      <c r="AC312" s="2487"/>
      <c r="AD312" s="2488"/>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89"/>
      <c r="G313" s="2490"/>
      <c r="H313" s="2490"/>
      <c r="I313" s="2490"/>
      <c r="J313" s="2490"/>
      <c r="K313" s="2490"/>
      <c r="L313" s="2490"/>
      <c r="M313" s="2490"/>
      <c r="N313" s="2490"/>
      <c r="O313" s="2490"/>
      <c r="P313" s="2490"/>
      <c r="Q313" s="2490"/>
      <c r="R313" s="2490"/>
      <c r="S313" s="2490"/>
      <c r="T313" s="2490"/>
      <c r="U313" s="2490"/>
      <c r="V313" s="2490"/>
      <c r="W313" s="2490"/>
      <c r="X313" s="2490"/>
      <c r="Y313" s="2490"/>
      <c r="Z313" s="2490"/>
      <c r="AA313" s="2490"/>
      <c r="AB313" s="2490"/>
      <c r="AC313" s="2490"/>
      <c r="AD313" s="2491"/>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749" t="s">
        <v>1375</v>
      </c>
      <c r="B315" s="1749"/>
      <c r="C315" s="2492" t="s">
        <v>543</v>
      </c>
      <c r="D315" s="2492"/>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86" t="s">
        <v>1975</v>
      </c>
      <c r="G316" s="2487"/>
      <c r="H316" s="2487"/>
      <c r="I316" s="2487"/>
      <c r="J316" s="2487"/>
      <c r="K316" s="2487"/>
      <c r="L316" s="2487"/>
      <c r="M316" s="2487"/>
      <c r="N316" s="2487"/>
      <c r="O316" s="2487"/>
      <c r="P316" s="2487"/>
      <c r="Q316" s="2487"/>
      <c r="R316" s="2487"/>
      <c r="S316" s="2487"/>
      <c r="T316" s="2487"/>
      <c r="U316" s="2487"/>
      <c r="V316" s="2487"/>
      <c r="W316" s="2487"/>
      <c r="X316" s="2487"/>
      <c r="Y316" s="2487"/>
      <c r="Z316" s="2487"/>
      <c r="AA316" s="2487"/>
      <c r="AB316" s="2487"/>
      <c r="AC316" s="2487"/>
      <c r="AD316" s="2488"/>
      <c r="AE316" s="545"/>
      <c r="AF316" s="545"/>
      <c r="AG316" s="545"/>
      <c r="AH316" s="545"/>
      <c r="AI316" s="545"/>
      <c r="AJ316" s="544"/>
      <c r="AK316" s="544"/>
      <c r="AL316" s="544"/>
      <c r="AM316" s="544"/>
      <c r="AR316" s="639"/>
    </row>
    <row r="317" spans="1:49" ht="15" customHeight="1">
      <c r="A317" s="544"/>
      <c r="B317" s="545"/>
      <c r="C317" s="544"/>
      <c r="D317" s="545"/>
      <c r="E317" s="544"/>
      <c r="F317" s="2486"/>
      <c r="G317" s="2487"/>
      <c r="H317" s="2487"/>
      <c r="I317" s="2487"/>
      <c r="J317" s="2487"/>
      <c r="K317" s="2487"/>
      <c r="L317" s="2487"/>
      <c r="M317" s="2487"/>
      <c r="N317" s="2487"/>
      <c r="O317" s="2487"/>
      <c r="P317" s="2487"/>
      <c r="Q317" s="2487"/>
      <c r="R317" s="2487"/>
      <c r="S317" s="2487"/>
      <c r="T317" s="2487"/>
      <c r="U317" s="2487"/>
      <c r="V317" s="2487"/>
      <c r="W317" s="2487"/>
      <c r="X317" s="2487"/>
      <c r="Y317" s="2487"/>
      <c r="Z317" s="2487"/>
      <c r="AA317" s="2487"/>
      <c r="AB317" s="2487"/>
      <c r="AC317" s="2487"/>
      <c r="AD317" s="2488"/>
      <c r="AE317" s="545"/>
      <c r="AF317" s="545"/>
      <c r="AG317" s="545"/>
      <c r="AH317" s="545"/>
      <c r="AI317" s="545"/>
      <c r="AJ317" s="544"/>
      <c r="AK317" s="544"/>
      <c r="AL317" s="544"/>
      <c r="AM317" s="544"/>
      <c r="AR317" s="639"/>
    </row>
    <row r="318" spans="1:49">
      <c r="A318" s="544"/>
      <c r="B318" s="545"/>
      <c r="C318" s="544"/>
      <c r="D318" s="545"/>
      <c r="E318" s="544"/>
      <c r="F318" s="2486"/>
      <c r="G318" s="2487"/>
      <c r="H318" s="2487"/>
      <c r="I318" s="2487"/>
      <c r="J318" s="2487"/>
      <c r="K318" s="2487"/>
      <c r="L318" s="2487"/>
      <c r="M318" s="2487"/>
      <c r="N318" s="2487"/>
      <c r="O318" s="2487"/>
      <c r="P318" s="2487"/>
      <c r="Q318" s="2487"/>
      <c r="R318" s="2487"/>
      <c r="S318" s="2487"/>
      <c r="T318" s="2487"/>
      <c r="U318" s="2487"/>
      <c r="V318" s="2487"/>
      <c r="W318" s="2487"/>
      <c r="X318" s="2487"/>
      <c r="Y318" s="2487"/>
      <c r="Z318" s="2487"/>
      <c r="AA318" s="2487"/>
      <c r="AB318" s="2487"/>
      <c r="AC318" s="2487"/>
      <c r="AD318" s="2488"/>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89"/>
      <c r="G319" s="2490"/>
      <c r="H319" s="2490"/>
      <c r="I319" s="2490"/>
      <c r="J319" s="2490"/>
      <c r="K319" s="2490"/>
      <c r="L319" s="2490"/>
      <c r="M319" s="2490"/>
      <c r="N319" s="2490"/>
      <c r="O319" s="2490"/>
      <c r="P319" s="2490"/>
      <c r="Q319" s="2490"/>
      <c r="R319" s="2490"/>
      <c r="S319" s="2490"/>
      <c r="T319" s="2490"/>
      <c r="U319" s="2490"/>
      <c r="V319" s="2490"/>
      <c r="W319" s="2490"/>
      <c r="X319" s="2490"/>
      <c r="Y319" s="2490"/>
      <c r="Z319" s="2490"/>
      <c r="AA319" s="2490"/>
      <c r="AB319" s="2490"/>
      <c r="AC319" s="2490"/>
      <c r="AD319" s="2491"/>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749" t="s">
        <v>1378</v>
      </c>
      <c r="B323" s="1749"/>
      <c r="C323" s="2492" t="s">
        <v>589</v>
      </c>
      <c r="D323" s="2492"/>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2486" t="s">
        <v>1980</v>
      </c>
      <c r="G324" s="2487"/>
      <c r="H324" s="2487"/>
      <c r="I324" s="2487"/>
      <c r="J324" s="2487"/>
      <c r="K324" s="2487"/>
      <c r="L324" s="2487"/>
      <c r="M324" s="2487"/>
      <c r="N324" s="2487"/>
      <c r="O324" s="2487"/>
      <c r="P324" s="2487"/>
      <c r="Q324" s="2487"/>
      <c r="R324" s="2487"/>
      <c r="S324" s="2487"/>
      <c r="T324" s="2487"/>
      <c r="U324" s="2487"/>
      <c r="V324" s="2487"/>
      <c r="W324" s="2487"/>
      <c r="X324" s="2487"/>
      <c r="Y324" s="2487"/>
      <c r="Z324" s="2487"/>
      <c r="AA324" s="2487"/>
      <c r="AB324" s="2487"/>
      <c r="AC324" s="2487"/>
      <c r="AD324" s="2488"/>
      <c r="AE324" s="545"/>
      <c r="AF324" s="545"/>
      <c r="AG324" s="535"/>
      <c r="AH324" s="545"/>
      <c r="AI324" s="545"/>
      <c r="AJ324" s="544"/>
      <c r="AK324" s="544"/>
      <c r="AL324" s="544"/>
      <c r="AM324" s="544"/>
      <c r="AN324" s="73"/>
      <c r="AO324" s="14"/>
      <c r="AP324" s="550" t="s">
        <v>1181</v>
      </c>
    </row>
    <row r="325" spans="1:44" hidden="1">
      <c r="F325" s="2486"/>
      <c r="G325" s="2487"/>
      <c r="H325" s="2487"/>
      <c r="I325" s="2487"/>
      <c r="J325" s="2487"/>
      <c r="K325" s="2487"/>
      <c r="L325" s="2487"/>
      <c r="M325" s="2487"/>
      <c r="N325" s="2487"/>
      <c r="O325" s="2487"/>
      <c r="P325" s="2487"/>
      <c r="Q325" s="2487"/>
      <c r="R325" s="2487"/>
      <c r="S325" s="2487"/>
      <c r="T325" s="2487"/>
      <c r="U325" s="2487"/>
      <c r="V325" s="2487"/>
      <c r="W325" s="2487"/>
      <c r="X325" s="2487"/>
      <c r="Y325" s="2487"/>
      <c r="Z325" s="2487"/>
      <c r="AA325" s="2487"/>
      <c r="AB325" s="2487"/>
      <c r="AC325" s="2487"/>
      <c r="AD325" s="2488"/>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1" t="s">
        <v>1181</v>
      </c>
      <c r="G329" s="2522"/>
      <c r="H329" s="2522"/>
      <c r="I329" s="2522"/>
      <c r="J329" s="2522"/>
      <c r="K329" s="2522"/>
      <c r="L329" s="2522"/>
      <c r="M329" s="2522"/>
      <c r="N329" s="2522"/>
      <c r="O329" s="2522"/>
      <c r="P329" s="2522"/>
      <c r="Q329" s="2522"/>
      <c r="R329" s="2522"/>
      <c r="S329" s="2522"/>
      <c r="T329" s="2522"/>
      <c r="U329" s="2522"/>
      <c r="V329" s="2522"/>
      <c r="W329" s="2522"/>
      <c r="X329" s="2522"/>
      <c r="Y329" s="2522"/>
      <c r="Z329" s="2522"/>
      <c r="AA329" s="2522"/>
      <c r="AB329" s="2522"/>
      <c r="AC329" s="2522"/>
      <c r="AD329" s="2523"/>
      <c r="AE329" s="635"/>
      <c r="AF329" s="635"/>
      <c r="AG329" s="635"/>
      <c r="AH329" s="635"/>
      <c r="AI329" s="635"/>
      <c r="AJ329" s="635"/>
      <c r="AK329" s="635"/>
      <c r="AL329" s="544"/>
      <c r="AM329" s="544"/>
      <c r="AN329" s="73"/>
      <c r="AO329" s="14"/>
      <c r="AP329" s="30"/>
    </row>
    <row r="330" spans="1:44" hidden="1">
      <c r="A330" s="544"/>
      <c r="B330" s="545"/>
      <c r="C330" s="721"/>
      <c r="D330" s="721"/>
      <c r="E330" s="541"/>
      <c r="F330" s="2521"/>
      <c r="G330" s="2522"/>
      <c r="H330" s="2522"/>
      <c r="I330" s="2522"/>
      <c r="J330" s="2522"/>
      <c r="K330" s="2522"/>
      <c r="L330" s="2522"/>
      <c r="M330" s="2522"/>
      <c r="N330" s="2522"/>
      <c r="O330" s="2522"/>
      <c r="P330" s="2522"/>
      <c r="Q330" s="2522"/>
      <c r="R330" s="2522"/>
      <c r="S330" s="2522"/>
      <c r="T330" s="2522"/>
      <c r="U330" s="2522"/>
      <c r="V330" s="2522"/>
      <c r="W330" s="2522"/>
      <c r="X330" s="2522"/>
      <c r="Y330" s="2522"/>
      <c r="Z330" s="2522"/>
      <c r="AA330" s="2522"/>
      <c r="AB330" s="2522"/>
      <c r="AC330" s="2522"/>
      <c r="AD330" s="2523"/>
      <c r="AE330" s="545"/>
      <c r="AF330" s="545"/>
      <c r="AG330" s="535"/>
      <c r="AH330" s="545"/>
      <c r="AI330" s="545"/>
      <c r="AJ330" s="544"/>
      <c r="AK330" s="544"/>
      <c r="AL330" s="544"/>
      <c r="AM330" s="544"/>
      <c r="AN330" s="73"/>
      <c r="AO330" s="14"/>
      <c r="AP330" s="30"/>
    </row>
    <row r="331" spans="1:44" hidden="1">
      <c r="A331" s="544"/>
      <c r="B331" s="545"/>
      <c r="C331" s="721"/>
      <c r="D331" s="721"/>
      <c r="E331" s="541"/>
      <c r="F331" s="2521"/>
      <c r="G331" s="2522"/>
      <c r="H331" s="2522"/>
      <c r="I331" s="2522"/>
      <c r="J331" s="2522"/>
      <c r="K331" s="2522"/>
      <c r="L331" s="2522"/>
      <c r="M331" s="2522"/>
      <c r="N331" s="2522"/>
      <c r="O331" s="2522"/>
      <c r="P331" s="2522"/>
      <c r="Q331" s="2522"/>
      <c r="R331" s="2522"/>
      <c r="S331" s="2522"/>
      <c r="T331" s="2522"/>
      <c r="U331" s="2522"/>
      <c r="V331" s="2522"/>
      <c r="W331" s="2522"/>
      <c r="X331" s="2522"/>
      <c r="Y331" s="2522"/>
      <c r="Z331" s="2522"/>
      <c r="AA331" s="2522"/>
      <c r="AB331" s="2522"/>
      <c r="AC331" s="2522"/>
      <c r="AD331" s="2523"/>
      <c r="AE331" s="545"/>
      <c r="AF331" s="545"/>
      <c r="AG331" s="535"/>
      <c r="AH331" s="545"/>
      <c r="AI331" s="545"/>
      <c r="AJ331" s="544"/>
      <c r="AK331" s="544"/>
      <c r="AL331" s="544"/>
      <c r="AM331" s="544"/>
      <c r="AN331" s="73"/>
      <c r="AO331" s="14"/>
      <c r="AP331" s="30"/>
    </row>
    <row r="332" spans="1:44" hidden="1">
      <c r="A332" s="544"/>
      <c r="B332" s="545"/>
      <c r="C332" s="721"/>
      <c r="D332" s="721"/>
      <c r="E332" s="541"/>
      <c r="F332" s="2521"/>
      <c r="G332" s="2522"/>
      <c r="H332" s="2522"/>
      <c r="I332" s="2522"/>
      <c r="J332" s="2522"/>
      <c r="K332" s="2522"/>
      <c r="L332" s="2522"/>
      <c r="M332" s="2522"/>
      <c r="N332" s="2522"/>
      <c r="O332" s="2522"/>
      <c r="P332" s="2522"/>
      <c r="Q332" s="2522"/>
      <c r="R332" s="2522"/>
      <c r="S332" s="2522"/>
      <c r="T332" s="2522"/>
      <c r="U332" s="2522"/>
      <c r="V332" s="2522"/>
      <c r="W332" s="2522"/>
      <c r="X332" s="2522"/>
      <c r="Y332" s="2522"/>
      <c r="Z332" s="2522"/>
      <c r="AA332" s="2522"/>
      <c r="AB332" s="2522"/>
      <c r="AC332" s="2522"/>
      <c r="AD332" s="2523"/>
      <c r="AE332" s="545"/>
      <c r="AF332" s="545"/>
      <c r="AG332" s="535"/>
      <c r="AH332" s="545"/>
      <c r="AI332" s="545"/>
      <c r="AJ332" s="544"/>
      <c r="AK332" s="544"/>
      <c r="AL332" s="544"/>
      <c r="AM332" s="544"/>
      <c r="AN332" s="73"/>
      <c r="AO332" s="14"/>
      <c r="AP332" s="30"/>
    </row>
    <row r="333" spans="1:44" hidden="1">
      <c r="A333" s="544"/>
      <c r="B333" s="545"/>
      <c r="C333" s="721"/>
      <c r="D333" s="721"/>
      <c r="E333" s="541"/>
      <c r="F333" s="2524"/>
      <c r="G333" s="2525"/>
      <c r="H333" s="2525"/>
      <c r="I333" s="2525"/>
      <c r="J333" s="2525"/>
      <c r="K333" s="2525"/>
      <c r="L333" s="2525"/>
      <c r="M333" s="2525"/>
      <c r="N333" s="2525"/>
      <c r="O333" s="2525"/>
      <c r="P333" s="2525"/>
      <c r="Q333" s="2525"/>
      <c r="R333" s="2525"/>
      <c r="S333" s="2525"/>
      <c r="T333" s="2525"/>
      <c r="U333" s="2525"/>
      <c r="V333" s="2525"/>
      <c r="W333" s="2525"/>
      <c r="X333" s="2525"/>
      <c r="Y333" s="2525"/>
      <c r="Z333" s="2525"/>
      <c r="AA333" s="2525"/>
      <c r="AB333" s="2525"/>
      <c r="AC333" s="2525"/>
      <c r="AD333" s="2526"/>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685</v>
      </c>
      <c r="H337" s="568"/>
      <c r="I337" s="2527" t="s">
        <v>1181</v>
      </c>
      <c r="J337" s="2527"/>
      <c r="K337" s="2527"/>
      <c r="L337" s="2527"/>
      <c r="M337" s="2527"/>
      <c r="N337" s="2527"/>
      <c r="O337" s="2527"/>
      <c r="P337" s="2527"/>
      <c r="Q337" s="2527"/>
      <c r="R337" s="2527"/>
      <c r="S337" s="2527"/>
      <c r="T337" s="2527"/>
      <c r="U337" s="2527"/>
      <c r="V337" s="2527"/>
      <c r="W337" s="2527"/>
      <c r="X337" s="2527"/>
      <c r="Y337" s="2527"/>
      <c r="Z337" s="2527"/>
      <c r="AA337" s="2527"/>
      <c r="AB337" s="2527"/>
      <c r="AC337" s="2527"/>
      <c r="AD337" s="2528"/>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2527"/>
      <c r="J338" s="2527"/>
      <c r="K338" s="2527"/>
      <c r="L338" s="2527"/>
      <c r="M338" s="2527"/>
      <c r="N338" s="2527"/>
      <c r="O338" s="2527"/>
      <c r="P338" s="2527"/>
      <c r="Q338" s="2527"/>
      <c r="R338" s="2527"/>
      <c r="S338" s="2527"/>
      <c r="T338" s="2527"/>
      <c r="U338" s="2527"/>
      <c r="V338" s="2527"/>
      <c r="W338" s="2527"/>
      <c r="X338" s="2527"/>
      <c r="Y338" s="2527"/>
      <c r="Z338" s="2527"/>
      <c r="AA338" s="2527"/>
      <c r="AB338" s="2527"/>
      <c r="AC338" s="2527"/>
      <c r="AD338" s="2528"/>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2527"/>
      <c r="J339" s="2527"/>
      <c r="K339" s="2527"/>
      <c r="L339" s="2527"/>
      <c r="M339" s="2527"/>
      <c r="N339" s="2527"/>
      <c r="O339" s="2527"/>
      <c r="P339" s="2527"/>
      <c r="Q339" s="2527"/>
      <c r="R339" s="2527"/>
      <c r="S339" s="2527"/>
      <c r="T339" s="2527"/>
      <c r="U339" s="2527"/>
      <c r="V339" s="2527"/>
      <c r="W339" s="2527"/>
      <c r="X339" s="2527"/>
      <c r="Y339" s="2527"/>
      <c r="Z339" s="2527"/>
      <c r="AA339" s="2527"/>
      <c r="AB339" s="2527"/>
      <c r="AC339" s="2527"/>
      <c r="AD339" s="2528"/>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2529"/>
      <c r="J340" s="2529"/>
      <c r="K340" s="2529"/>
      <c r="L340" s="2529"/>
      <c r="M340" s="2529"/>
      <c r="N340" s="2529"/>
      <c r="O340" s="2529"/>
      <c r="P340" s="2529"/>
      <c r="Q340" s="2529"/>
      <c r="R340" s="2529"/>
      <c r="S340" s="2529"/>
      <c r="T340" s="2529"/>
      <c r="U340" s="2529"/>
      <c r="V340" s="2529"/>
      <c r="W340" s="2529"/>
      <c r="X340" s="2529"/>
      <c r="Y340" s="2529"/>
      <c r="Z340" s="2529"/>
      <c r="AA340" s="2529"/>
      <c r="AB340" s="2529"/>
      <c r="AC340" s="2529"/>
      <c r="AD340" s="2530"/>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507</v>
      </c>
      <c r="H342" s="545"/>
      <c r="I342" s="2527" t="s">
        <v>1181</v>
      </c>
      <c r="J342" s="2527"/>
      <c r="K342" s="2527"/>
      <c r="L342" s="2527"/>
      <c r="M342" s="2527"/>
      <c r="N342" s="2527"/>
      <c r="O342" s="2527"/>
      <c r="P342" s="2527"/>
      <c r="Q342" s="2527"/>
      <c r="R342" s="2527"/>
      <c r="S342" s="2527"/>
      <c r="T342" s="2527"/>
      <c r="U342" s="2527"/>
      <c r="V342" s="2527"/>
      <c r="W342" s="2527"/>
      <c r="X342" s="2527"/>
      <c r="Y342" s="2527"/>
      <c r="Z342" s="2527"/>
      <c r="AA342" s="2527"/>
      <c r="AB342" s="2527"/>
      <c r="AC342" s="2527"/>
      <c r="AD342" s="2528"/>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27"/>
      <c r="J343" s="2527"/>
      <c r="K343" s="2527"/>
      <c r="L343" s="2527"/>
      <c r="M343" s="2527"/>
      <c r="N343" s="2527"/>
      <c r="O343" s="2527"/>
      <c r="P343" s="2527"/>
      <c r="Q343" s="2527"/>
      <c r="R343" s="2527"/>
      <c r="S343" s="2527"/>
      <c r="T343" s="2527"/>
      <c r="U343" s="2527"/>
      <c r="V343" s="2527"/>
      <c r="W343" s="2527"/>
      <c r="X343" s="2527"/>
      <c r="Y343" s="2527"/>
      <c r="Z343" s="2527"/>
      <c r="AA343" s="2527"/>
      <c r="AB343" s="2527"/>
      <c r="AC343" s="2527"/>
      <c r="AD343" s="2528"/>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2529"/>
      <c r="J344" s="2529"/>
      <c r="K344" s="2529"/>
      <c r="L344" s="2529"/>
      <c r="M344" s="2529"/>
      <c r="N344" s="2529"/>
      <c r="O344" s="2529"/>
      <c r="P344" s="2529"/>
      <c r="Q344" s="2529"/>
      <c r="R344" s="2529"/>
      <c r="S344" s="2529"/>
      <c r="T344" s="2529"/>
      <c r="U344" s="2529"/>
      <c r="V344" s="2529"/>
      <c r="W344" s="2529"/>
      <c r="X344" s="2529"/>
      <c r="Y344" s="2529"/>
      <c r="Z344" s="2529"/>
      <c r="AA344" s="2529"/>
      <c r="AB344" s="2529"/>
      <c r="AC344" s="2529"/>
      <c r="AD344" s="2530"/>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749" t="s">
        <v>1381</v>
      </c>
      <c r="B346" s="1749"/>
      <c r="C346" s="2492" t="s">
        <v>589</v>
      </c>
      <c r="D346" s="2492"/>
      <c r="E346" s="541"/>
      <c r="F346" s="2425" t="s">
        <v>1981</v>
      </c>
      <c r="G346" s="2426"/>
      <c r="H346" s="2426"/>
      <c r="I346" s="2426"/>
      <c r="J346" s="2426"/>
      <c r="K346" s="2426"/>
      <c r="L346" s="2426"/>
      <c r="M346" s="2426"/>
      <c r="N346" s="2426"/>
      <c r="O346" s="2426"/>
      <c r="P346" s="2426"/>
      <c r="Q346" s="2426"/>
      <c r="R346" s="2426"/>
      <c r="S346" s="2426"/>
      <c r="T346" s="2426"/>
      <c r="U346" s="2426"/>
      <c r="V346" s="2426"/>
      <c r="W346" s="2426"/>
      <c r="X346" s="2426"/>
      <c r="Y346" s="2426"/>
      <c r="Z346" s="2426"/>
      <c r="AA346" s="2426"/>
      <c r="AB346" s="2426"/>
      <c r="AC346" s="2426"/>
      <c r="AD346" s="2427"/>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54"/>
      <c r="G347" s="2455"/>
      <c r="H347" s="2455"/>
      <c r="I347" s="2455"/>
      <c r="J347" s="2455"/>
      <c r="K347" s="2455"/>
      <c r="L347" s="2455"/>
      <c r="M347" s="2455"/>
      <c r="N347" s="2455"/>
      <c r="O347" s="2455"/>
      <c r="P347" s="2455"/>
      <c r="Q347" s="2455"/>
      <c r="R347" s="2455"/>
      <c r="S347" s="2455"/>
      <c r="T347" s="2455"/>
      <c r="U347" s="2455"/>
      <c r="V347" s="2455"/>
      <c r="W347" s="2455"/>
      <c r="X347" s="2455"/>
      <c r="Y347" s="2455"/>
      <c r="Z347" s="2455"/>
      <c r="AA347" s="2455"/>
      <c r="AB347" s="2455"/>
      <c r="AC347" s="2455"/>
      <c r="AD347" s="2456"/>
      <c r="AE347" s="545"/>
      <c r="AF347" s="545"/>
      <c r="AG347" s="545"/>
      <c r="AH347" s="545"/>
      <c r="AI347" s="545"/>
      <c r="AJ347" s="544"/>
      <c r="AK347" s="544"/>
      <c r="AL347" s="544"/>
      <c r="AM347" s="544"/>
      <c r="AN347" s="73"/>
      <c r="AO347" s="14"/>
    </row>
    <row r="348" spans="1:42" ht="15" hidden="1" customHeight="1">
      <c r="A348" s="544"/>
      <c r="B348" s="545"/>
      <c r="C348" s="545"/>
      <c r="D348" s="545"/>
      <c r="E348" s="545"/>
      <c r="F348" s="2454"/>
      <c r="G348" s="2455"/>
      <c r="H348" s="2455"/>
      <c r="I348" s="2455"/>
      <c r="J348" s="2455"/>
      <c r="K348" s="2455"/>
      <c r="L348" s="2455"/>
      <c r="M348" s="2455"/>
      <c r="N348" s="2455"/>
      <c r="O348" s="2455"/>
      <c r="P348" s="2455"/>
      <c r="Q348" s="2455"/>
      <c r="R348" s="2455"/>
      <c r="S348" s="2455"/>
      <c r="T348" s="2455"/>
      <c r="U348" s="2455"/>
      <c r="V348" s="2455"/>
      <c r="W348" s="2455"/>
      <c r="X348" s="2455"/>
      <c r="Y348" s="2455"/>
      <c r="Z348" s="2455"/>
      <c r="AA348" s="2455"/>
      <c r="AB348" s="2455"/>
      <c r="AC348" s="2455"/>
      <c r="AD348" s="2456"/>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95">
        <f>IF(NOT(OR(Application!M364="Yes",Application!M365="Yes")),0,AP308)</f>
        <v>9</v>
      </c>
      <c r="AL351" s="2496"/>
      <c r="AM351" s="2497"/>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843</v>
      </c>
      <c r="C354" s="532"/>
      <c r="AC354" s="535"/>
      <c r="AE354" s="2437" t="s">
        <v>1305</v>
      </c>
      <c r="AF354" s="2437"/>
      <c r="AG354" s="2437"/>
      <c r="AH354" s="2437"/>
      <c r="AI354" s="2437"/>
      <c r="AJ354" s="2437"/>
      <c r="AK354" s="2437"/>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1" t="s">
        <v>1442</v>
      </c>
      <c r="D356" s="2531"/>
      <c r="E356" s="2531"/>
      <c r="F356" s="2531"/>
      <c r="G356" s="2531"/>
      <c r="H356" s="2531"/>
      <c r="I356" s="2531"/>
      <c r="J356" s="2531"/>
      <c r="K356" s="2531"/>
      <c r="L356" s="2531"/>
      <c r="M356" s="2531"/>
      <c r="N356" s="2531"/>
      <c r="O356" s="2531"/>
      <c r="P356" s="2531"/>
      <c r="Q356" s="2531"/>
      <c r="R356" s="2531"/>
      <c r="S356" s="2531"/>
      <c r="T356" s="2531"/>
      <c r="U356" s="2531"/>
      <c r="V356" s="2531"/>
      <c r="W356" s="2531"/>
      <c r="X356" s="2531"/>
      <c r="Y356" s="2531"/>
      <c r="Z356" s="2531"/>
      <c r="AA356" s="2531"/>
      <c r="AB356" s="2531"/>
      <c r="AC356" s="2531"/>
      <c r="AD356" s="2531"/>
      <c r="AE356" s="2531"/>
      <c r="AF356" s="2531"/>
      <c r="AG356" s="2531"/>
      <c r="AH356" s="2531"/>
      <c r="AI356" s="2531"/>
      <c r="AJ356" s="2531"/>
      <c r="AK356" s="596"/>
      <c r="AL356" s="596"/>
      <c r="AM356" s="596"/>
      <c r="AN356" s="590"/>
    </row>
    <row r="357" spans="1:44" s="544" customFormat="1" ht="12.75" customHeight="1">
      <c r="A357" s="596"/>
      <c r="B357" s="604"/>
      <c r="C357" s="2531"/>
      <c r="D357" s="2531"/>
      <c r="E357" s="2531"/>
      <c r="F357" s="2531"/>
      <c r="G357" s="2531"/>
      <c r="H357" s="2531"/>
      <c r="I357" s="2531"/>
      <c r="J357" s="2531"/>
      <c r="K357" s="2531"/>
      <c r="L357" s="2531"/>
      <c r="M357" s="2531"/>
      <c r="N357" s="2531"/>
      <c r="O357" s="2531"/>
      <c r="P357" s="2531"/>
      <c r="Q357" s="2531"/>
      <c r="R357" s="2531"/>
      <c r="S357" s="2531"/>
      <c r="T357" s="2531"/>
      <c r="U357" s="2531"/>
      <c r="V357" s="2531"/>
      <c r="W357" s="2531"/>
      <c r="X357" s="2531"/>
      <c r="Y357" s="2531"/>
      <c r="Z357" s="2531"/>
      <c r="AA357" s="2531"/>
      <c r="AB357" s="2531"/>
      <c r="AC357" s="2531"/>
      <c r="AD357" s="2531"/>
      <c r="AE357" s="2531"/>
      <c r="AF357" s="2531"/>
      <c r="AG357" s="2531"/>
      <c r="AH357" s="2531"/>
      <c r="AI357" s="2531"/>
      <c r="AJ357" s="2531"/>
      <c r="AK357" s="596"/>
      <c r="AL357" s="596"/>
      <c r="AM357" s="596"/>
      <c r="AN357" s="590"/>
    </row>
    <row r="358" spans="1:44" s="544" customFormat="1" ht="12.75" customHeight="1">
      <c r="A358" s="596"/>
      <c r="B358" s="604"/>
      <c r="C358" s="2531"/>
      <c r="D358" s="2531"/>
      <c r="E358" s="2531"/>
      <c r="F358" s="2531"/>
      <c r="G358" s="2531"/>
      <c r="H358" s="2531"/>
      <c r="I358" s="2531"/>
      <c r="J358" s="2531"/>
      <c r="K358" s="2531"/>
      <c r="L358" s="2531"/>
      <c r="M358" s="2531"/>
      <c r="N358" s="2531"/>
      <c r="O358" s="2531"/>
      <c r="P358" s="2531"/>
      <c r="Q358" s="2531"/>
      <c r="R358" s="2531"/>
      <c r="S358" s="2531"/>
      <c r="T358" s="2531"/>
      <c r="U358" s="2531"/>
      <c r="V358" s="2531"/>
      <c r="W358" s="2531"/>
      <c r="X358" s="2531"/>
      <c r="Y358" s="2531"/>
      <c r="Z358" s="2531"/>
      <c r="AA358" s="2531"/>
      <c r="AB358" s="2531"/>
      <c r="AC358" s="2531"/>
      <c r="AD358" s="2531"/>
      <c r="AE358" s="2531"/>
      <c r="AF358" s="2531"/>
      <c r="AG358" s="2531"/>
      <c r="AH358" s="2531"/>
      <c r="AI358" s="2531"/>
      <c r="AJ358" s="2531"/>
      <c r="AK358" s="596"/>
      <c r="AL358" s="596"/>
      <c r="AM358" s="596"/>
      <c r="AN358" s="590"/>
      <c r="AQ358" s="563"/>
    </row>
    <row r="359" spans="1:44" s="544" customFormat="1" ht="12.75" customHeight="1">
      <c r="A359" s="596"/>
      <c r="B359" s="604"/>
      <c r="C359" s="2531"/>
      <c r="D359" s="2531"/>
      <c r="E359" s="2531"/>
      <c r="F359" s="2531"/>
      <c r="G359" s="2531"/>
      <c r="H359" s="2531"/>
      <c r="I359" s="2531"/>
      <c r="J359" s="2531"/>
      <c r="K359" s="2531"/>
      <c r="L359" s="2531"/>
      <c r="M359" s="2531"/>
      <c r="N359" s="2531"/>
      <c r="O359" s="2531"/>
      <c r="P359" s="2531"/>
      <c r="Q359" s="2531"/>
      <c r="R359" s="2531"/>
      <c r="S359" s="2531"/>
      <c r="T359" s="2531"/>
      <c r="U359" s="2531"/>
      <c r="V359" s="2531"/>
      <c r="W359" s="2531"/>
      <c r="X359" s="2531"/>
      <c r="Y359" s="2531"/>
      <c r="Z359" s="2531"/>
      <c r="AA359" s="2531"/>
      <c r="AB359" s="2531"/>
      <c r="AC359" s="2531"/>
      <c r="AD359" s="2531"/>
      <c r="AE359" s="2531"/>
      <c r="AF359" s="2531"/>
      <c r="AG359" s="2531"/>
      <c r="AH359" s="2531"/>
      <c r="AI359" s="2531"/>
      <c r="AJ359" s="2531"/>
      <c r="AK359" s="596"/>
      <c r="AL359" s="596"/>
      <c r="AM359" s="596"/>
      <c r="AN359" s="590"/>
      <c r="AQ359" s="563"/>
    </row>
    <row r="360" spans="1:44" s="544" customFormat="1" ht="12.45" customHeight="1">
      <c r="A360" s="596"/>
      <c r="B360" s="604"/>
      <c r="C360" s="2531"/>
      <c r="D360" s="2531"/>
      <c r="E360" s="2531"/>
      <c r="F360" s="2531"/>
      <c r="G360" s="2531"/>
      <c r="H360" s="2531"/>
      <c r="I360" s="2531"/>
      <c r="J360" s="2531"/>
      <c r="K360" s="2531"/>
      <c r="L360" s="2531"/>
      <c r="M360" s="2531"/>
      <c r="N360" s="2531"/>
      <c r="O360" s="2531"/>
      <c r="P360" s="2531"/>
      <c r="Q360" s="2531"/>
      <c r="R360" s="2531"/>
      <c r="S360" s="2531"/>
      <c r="T360" s="2531"/>
      <c r="U360" s="2531"/>
      <c r="V360" s="2531"/>
      <c r="W360" s="2531"/>
      <c r="X360" s="2531"/>
      <c r="Y360" s="2531"/>
      <c r="Z360" s="2531"/>
      <c r="AA360" s="2531"/>
      <c r="AB360" s="2531"/>
      <c r="AC360" s="2531"/>
      <c r="AD360" s="2531"/>
      <c r="AE360" s="2531"/>
      <c r="AF360" s="2531"/>
      <c r="AG360" s="2531"/>
      <c r="AH360" s="2531"/>
      <c r="AI360" s="2531"/>
      <c r="AJ360" s="2531"/>
      <c r="AK360" s="596"/>
      <c r="AL360" s="596"/>
      <c r="AM360" s="596"/>
      <c r="AN360" s="590"/>
      <c r="AQ360" s="563"/>
      <c r="AR360" s="563"/>
    </row>
    <row r="361" spans="1:44" s="544" customFormat="1" ht="45.75" customHeight="1">
      <c r="A361" s="596"/>
      <c r="B361" s="604"/>
      <c r="C361" s="2531" t="s">
        <v>2040</v>
      </c>
      <c r="D361" s="2531"/>
      <c r="E361" s="2531"/>
      <c r="F361" s="2531"/>
      <c r="G361" s="2531"/>
      <c r="H361" s="2531"/>
      <c r="I361" s="2531"/>
      <c r="J361" s="2531"/>
      <c r="K361" s="2531"/>
      <c r="L361" s="2531"/>
      <c r="M361" s="2531"/>
      <c r="N361" s="2531"/>
      <c r="O361" s="2531"/>
      <c r="P361" s="2531"/>
      <c r="Q361" s="2531"/>
      <c r="R361" s="2531"/>
      <c r="S361" s="2531"/>
      <c r="T361" s="2531"/>
      <c r="U361" s="2531"/>
      <c r="V361" s="2531"/>
      <c r="W361" s="2531"/>
      <c r="X361" s="2531"/>
      <c r="Y361" s="2531"/>
      <c r="Z361" s="2531"/>
      <c r="AA361" s="2531"/>
      <c r="AB361" s="2531"/>
      <c r="AC361" s="2531"/>
      <c r="AD361" s="2531"/>
      <c r="AE361" s="2531"/>
      <c r="AF361" s="2531"/>
      <c r="AG361" s="2531"/>
      <c r="AH361" s="2531"/>
      <c r="AI361" s="2531"/>
      <c r="AJ361" s="2531"/>
      <c r="AK361" s="596"/>
      <c r="AL361" s="596"/>
      <c r="AM361" s="596"/>
      <c r="AN361" s="590"/>
      <c r="AQ361" s="563"/>
      <c r="AR361" s="563"/>
    </row>
    <row r="362" spans="1:44" s="544" customFormat="1" ht="12.4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1" t="s">
        <v>2154</v>
      </c>
      <c r="D363" s="2531"/>
      <c r="E363" s="2531"/>
      <c r="F363" s="2531"/>
      <c r="G363" s="2531"/>
      <c r="H363" s="2531"/>
      <c r="I363" s="2531"/>
      <c r="J363" s="2531"/>
      <c r="K363" s="2531"/>
      <c r="L363" s="2531"/>
      <c r="M363" s="2531"/>
      <c r="N363" s="2531"/>
      <c r="O363" s="2531"/>
      <c r="P363" s="2531"/>
      <c r="Q363" s="2531"/>
      <c r="R363" s="2531"/>
      <c r="S363" s="2531"/>
      <c r="T363" s="2531"/>
      <c r="U363" s="2531"/>
      <c r="V363" s="2531"/>
      <c r="W363" s="2531"/>
      <c r="X363" s="2531"/>
      <c r="Y363" s="2531"/>
      <c r="Z363" s="2531"/>
      <c r="AA363" s="2531"/>
      <c r="AB363" s="2531"/>
      <c r="AC363" s="2531"/>
      <c r="AD363" s="2531"/>
      <c r="AE363" s="2531"/>
      <c r="AF363" s="2531"/>
      <c r="AG363" s="2531"/>
      <c r="AH363" s="2531"/>
      <c r="AI363" s="2531"/>
      <c r="AJ363" s="2531"/>
      <c r="AK363" s="596"/>
      <c r="AL363" s="596"/>
      <c r="AM363" s="596"/>
      <c r="AN363" s="590"/>
      <c r="AQ363" s="563"/>
      <c r="AR363" s="563"/>
    </row>
    <row r="364" spans="1:44" s="544" customFormat="1" ht="30" customHeight="1">
      <c r="A364" s="596"/>
      <c r="B364" s="604"/>
      <c r="C364" s="2531"/>
      <c r="D364" s="2531"/>
      <c r="E364" s="2531"/>
      <c r="F364" s="2531"/>
      <c r="G364" s="2531"/>
      <c r="H364" s="2531"/>
      <c r="I364" s="2531"/>
      <c r="J364" s="2531"/>
      <c r="K364" s="2531"/>
      <c r="L364" s="2531"/>
      <c r="M364" s="2531"/>
      <c r="N364" s="2531"/>
      <c r="O364" s="2531"/>
      <c r="P364" s="2531"/>
      <c r="Q364" s="2531"/>
      <c r="R364" s="2531"/>
      <c r="S364" s="2531"/>
      <c r="T364" s="2531"/>
      <c r="U364" s="2531"/>
      <c r="V364" s="2531"/>
      <c r="W364" s="2531"/>
      <c r="X364" s="2531"/>
      <c r="Y364" s="2531"/>
      <c r="Z364" s="2531"/>
      <c r="AA364" s="2531"/>
      <c r="AB364" s="2531"/>
      <c r="AC364" s="2531"/>
      <c r="AD364" s="2531"/>
      <c r="AE364" s="2531"/>
      <c r="AF364" s="2531"/>
      <c r="AG364" s="2531"/>
      <c r="AH364" s="2531"/>
      <c r="AI364" s="2531"/>
      <c r="AJ364" s="2531"/>
      <c r="AK364" s="596"/>
      <c r="AL364" s="596"/>
      <c r="AM364" s="596"/>
      <c r="AN364" s="590"/>
      <c r="AR364" s="563"/>
    </row>
    <row r="365" spans="1:44" s="544" customFormat="1" ht="12.75" customHeight="1">
      <c r="A365" s="596"/>
      <c r="B365" s="604"/>
      <c r="C365" s="2531"/>
      <c r="D365" s="2531"/>
      <c r="E365" s="2531"/>
      <c r="F365" s="2531"/>
      <c r="G365" s="2531"/>
      <c r="H365" s="2531"/>
      <c r="I365" s="2531"/>
      <c r="J365" s="2531"/>
      <c r="K365" s="2531"/>
      <c r="L365" s="2531"/>
      <c r="M365" s="2531"/>
      <c r="N365" s="2531"/>
      <c r="O365" s="2531"/>
      <c r="P365" s="2531"/>
      <c r="Q365" s="2531"/>
      <c r="R365" s="2531"/>
      <c r="S365" s="2531"/>
      <c r="T365" s="2531"/>
      <c r="U365" s="2531"/>
      <c r="V365" s="2531"/>
      <c r="W365" s="2531"/>
      <c r="X365" s="2531"/>
      <c r="Y365" s="2531"/>
      <c r="Z365" s="2531"/>
      <c r="AA365" s="2531"/>
      <c r="AB365" s="2531"/>
      <c r="AC365" s="2531"/>
      <c r="AD365" s="2531"/>
      <c r="AE365" s="2531"/>
      <c r="AF365" s="2531"/>
      <c r="AG365" s="2531"/>
      <c r="AH365" s="2531"/>
      <c r="AI365" s="2531"/>
      <c r="AJ365" s="2531"/>
      <c r="AK365" s="596"/>
      <c r="AL365" s="596"/>
      <c r="AM365" s="596"/>
      <c r="AN365" s="590"/>
      <c r="AR365" s="563"/>
    </row>
    <row r="366" spans="1:44" s="544" customFormat="1" ht="12.75" customHeight="1">
      <c r="A366" s="596"/>
      <c r="B366" s="604"/>
      <c r="C366" s="2531" t="s">
        <v>1443</v>
      </c>
      <c r="D366" s="2531"/>
      <c r="E366" s="2531"/>
      <c r="F366" s="2531"/>
      <c r="G366" s="2531"/>
      <c r="H366" s="2531"/>
      <c r="I366" s="2531"/>
      <c r="J366" s="2531"/>
      <c r="K366" s="2531"/>
      <c r="L366" s="2531"/>
      <c r="M366" s="2531"/>
      <c r="N366" s="2531"/>
      <c r="O366" s="2531"/>
      <c r="P366" s="2531"/>
      <c r="Q366" s="2531"/>
      <c r="R366" s="2531"/>
      <c r="S366" s="2531"/>
      <c r="T366" s="2531"/>
      <c r="U366" s="2531"/>
      <c r="V366" s="2531"/>
      <c r="W366" s="2531"/>
      <c r="X366" s="2531"/>
      <c r="Y366" s="2531"/>
      <c r="Z366" s="2531"/>
      <c r="AA366" s="2531"/>
      <c r="AB366" s="2531"/>
      <c r="AC366" s="2531"/>
      <c r="AD366" s="2531"/>
      <c r="AE366" s="2531"/>
      <c r="AF366" s="2531"/>
      <c r="AG366" s="2531"/>
      <c r="AH366" s="2531"/>
      <c r="AI366" s="2531"/>
      <c r="AJ366" s="2531"/>
      <c r="AK366" s="596"/>
      <c r="AL366" s="596"/>
      <c r="AM366" s="596"/>
      <c r="AN366" s="590"/>
      <c r="AQ366" s="563"/>
      <c r="AR366" s="563"/>
    </row>
    <row r="367" spans="1:44" s="544" customFormat="1" ht="12.75" customHeight="1">
      <c r="A367" s="596"/>
      <c r="B367" s="604"/>
      <c r="C367" s="2531"/>
      <c r="D367" s="2531"/>
      <c r="E367" s="2531"/>
      <c r="F367" s="2531"/>
      <c r="G367" s="2531"/>
      <c r="H367" s="2531"/>
      <c r="I367" s="2531"/>
      <c r="J367" s="2531"/>
      <c r="K367" s="2531"/>
      <c r="L367" s="2531"/>
      <c r="M367" s="2531"/>
      <c r="N367" s="2531"/>
      <c r="O367" s="2531"/>
      <c r="P367" s="2531"/>
      <c r="Q367" s="2531"/>
      <c r="R367" s="2531"/>
      <c r="S367" s="2531"/>
      <c r="T367" s="2531"/>
      <c r="U367" s="2531"/>
      <c r="V367" s="2531"/>
      <c r="W367" s="2531"/>
      <c r="X367" s="2531"/>
      <c r="Y367" s="2531"/>
      <c r="Z367" s="2531"/>
      <c r="AA367" s="2531"/>
      <c r="AB367" s="2531"/>
      <c r="AC367" s="2531"/>
      <c r="AD367" s="2531"/>
      <c r="AE367" s="2531"/>
      <c r="AF367" s="2531"/>
      <c r="AG367" s="2531"/>
      <c r="AH367" s="2531"/>
      <c r="AI367" s="2531"/>
      <c r="AJ367" s="2531"/>
      <c r="AK367" s="596"/>
      <c r="AL367" s="596"/>
      <c r="AM367" s="596"/>
      <c r="AN367" s="590"/>
      <c r="AQ367" s="563"/>
      <c r="AR367" s="563"/>
    </row>
    <row r="368" spans="1:44" s="544" customFormat="1" ht="13.2" customHeight="1">
      <c r="A368" s="596"/>
      <c r="B368" s="604"/>
      <c r="C368" s="2531"/>
      <c r="D368" s="2531"/>
      <c r="E368" s="2531"/>
      <c r="F368" s="2531"/>
      <c r="G368" s="2531"/>
      <c r="H368" s="2531"/>
      <c r="I368" s="2531"/>
      <c r="J368" s="2531"/>
      <c r="K368" s="2531"/>
      <c r="L368" s="2531"/>
      <c r="M368" s="2531"/>
      <c r="N368" s="2531"/>
      <c r="O368" s="2531"/>
      <c r="P368" s="2531"/>
      <c r="Q368" s="2531"/>
      <c r="R368" s="2531"/>
      <c r="S368" s="2531"/>
      <c r="T368" s="2531"/>
      <c r="U368" s="2531"/>
      <c r="V368" s="2531"/>
      <c r="W368" s="2531"/>
      <c r="X368" s="2531"/>
      <c r="Y368" s="2531"/>
      <c r="Z368" s="2531"/>
      <c r="AA368" s="2531"/>
      <c r="AB368" s="2531"/>
      <c r="AC368" s="2531"/>
      <c r="AD368" s="2531"/>
      <c r="AE368" s="2531"/>
      <c r="AF368" s="2531"/>
      <c r="AG368" s="2531"/>
      <c r="AH368" s="2531"/>
      <c r="AI368" s="2531"/>
      <c r="AJ368" s="2531"/>
      <c r="AK368" s="596"/>
      <c r="AL368" s="596"/>
      <c r="AM368" s="596"/>
      <c r="AN368" s="590"/>
      <c r="AQ368" s="563"/>
      <c r="AR368" s="563"/>
    </row>
    <row r="369" spans="1:46" s="544" customFormat="1" ht="12.75" customHeight="1">
      <c r="A369" s="596"/>
      <c r="B369" s="604"/>
      <c r="C369" s="2531"/>
      <c r="D369" s="2531"/>
      <c r="E369" s="2531"/>
      <c r="F369" s="2531"/>
      <c r="G369" s="2531"/>
      <c r="H369" s="2531"/>
      <c r="I369" s="2531"/>
      <c r="J369" s="2531"/>
      <c r="K369" s="2531"/>
      <c r="L369" s="2531"/>
      <c r="M369" s="2531"/>
      <c r="N369" s="2531"/>
      <c r="O369" s="2531"/>
      <c r="P369" s="2531"/>
      <c r="Q369" s="2531"/>
      <c r="R369" s="2531"/>
      <c r="S369" s="2531"/>
      <c r="T369" s="2531"/>
      <c r="U369" s="2531"/>
      <c r="V369" s="2531"/>
      <c r="W369" s="2531"/>
      <c r="X369" s="2531"/>
      <c r="Y369" s="2531"/>
      <c r="Z369" s="2531"/>
      <c r="AA369" s="2531"/>
      <c r="AB369" s="2531"/>
      <c r="AC369" s="2531"/>
      <c r="AD369" s="2531"/>
      <c r="AE369" s="2531"/>
      <c r="AF369" s="2531"/>
      <c r="AG369" s="2531"/>
      <c r="AH369" s="2531"/>
      <c r="AI369" s="2531"/>
      <c r="AJ369" s="2531"/>
      <c r="AK369" s="596"/>
      <c r="AL369" s="596"/>
      <c r="AM369" s="596"/>
      <c r="AN369" s="590"/>
      <c r="AO369" s="685"/>
      <c r="AP369" s="685"/>
      <c r="AQ369" s="563"/>
    </row>
    <row r="370" spans="1:46" s="544" customFormat="1" ht="11.85" customHeight="1">
      <c r="A370" s="596"/>
      <c r="B370" s="604"/>
      <c r="C370" s="2531"/>
      <c r="D370" s="2531"/>
      <c r="E370" s="2531"/>
      <c r="F370" s="2531"/>
      <c r="G370" s="2531"/>
      <c r="H370" s="2531"/>
      <c r="I370" s="2531"/>
      <c r="J370" s="2531"/>
      <c r="K370" s="2531"/>
      <c r="L370" s="2531"/>
      <c r="M370" s="2531"/>
      <c r="N370" s="2531"/>
      <c r="O370" s="2531"/>
      <c r="P370" s="2531"/>
      <c r="Q370" s="2531"/>
      <c r="R370" s="2531"/>
      <c r="S370" s="2531"/>
      <c r="T370" s="2531"/>
      <c r="U370" s="2531"/>
      <c r="V370" s="2531"/>
      <c r="W370" s="2531"/>
      <c r="X370" s="2531"/>
      <c r="Y370" s="2531"/>
      <c r="Z370" s="2531"/>
      <c r="AA370" s="2531"/>
      <c r="AB370" s="2531"/>
      <c r="AC370" s="2531"/>
      <c r="AD370" s="2531"/>
      <c r="AE370" s="2531"/>
      <c r="AF370" s="2531"/>
      <c r="AG370" s="2531"/>
      <c r="AH370" s="2531"/>
      <c r="AI370" s="2531"/>
      <c r="AJ370" s="2531"/>
      <c r="AK370" s="596"/>
      <c r="AL370" s="596"/>
      <c r="AM370" s="596"/>
      <c r="AN370" s="590"/>
      <c r="AO370" s="686" t="s">
        <v>112</v>
      </c>
      <c r="AP370" s="687">
        <f>IF(C394="Yes",5,0)</f>
        <v>0</v>
      </c>
      <c r="AS370" s="535" t="s">
        <v>1444</v>
      </c>
    </row>
    <row r="371" spans="1:46" s="544" customFormat="1" ht="12.75" customHeight="1">
      <c r="A371" s="596"/>
      <c r="B371" s="604"/>
      <c r="C371" s="2531"/>
      <c r="D371" s="2531"/>
      <c r="E371" s="2531"/>
      <c r="F371" s="2531"/>
      <c r="G371" s="2531"/>
      <c r="H371" s="2531"/>
      <c r="I371" s="2531"/>
      <c r="J371" s="2531"/>
      <c r="K371" s="2531"/>
      <c r="L371" s="2531"/>
      <c r="M371" s="2531"/>
      <c r="N371" s="2531"/>
      <c r="O371" s="2531"/>
      <c r="P371" s="2531"/>
      <c r="Q371" s="2531"/>
      <c r="R371" s="2531"/>
      <c r="S371" s="2531"/>
      <c r="T371" s="2531"/>
      <c r="U371" s="2531"/>
      <c r="V371" s="2531"/>
      <c r="W371" s="2531"/>
      <c r="X371" s="2531"/>
      <c r="Y371" s="2531"/>
      <c r="Z371" s="2531"/>
      <c r="AA371" s="2531"/>
      <c r="AB371" s="2531"/>
      <c r="AC371" s="2531"/>
      <c r="AD371" s="2531"/>
      <c r="AE371" s="2531"/>
      <c r="AF371" s="2531"/>
      <c r="AG371" s="2531"/>
      <c r="AH371" s="2531"/>
      <c r="AI371" s="2531"/>
      <c r="AJ371" s="2531"/>
      <c r="AK371" s="596"/>
      <c r="AL371" s="596"/>
      <c r="AM371" s="596"/>
      <c r="AN371" s="590"/>
      <c r="AO371" s="686" t="s">
        <v>113</v>
      </c>
      <c r="AP371" s="687">
        <f>IF(C402="Yes",5,0)</f>
        <v>0</v>
      </c>
      <c r="AS371" s="2561">
        <f>IF(Application!D211="Non-Targeted",(SUM(AQ379+AQ388)),AS375)</f>
        <v>10</v>
      </c>
      <c r="AT371" s="2561"/>
    </row>
    <row r="372" spans="1:46" s="544" customFormat="1" ht="12.75" customHeight="1">
      <c r="A372" s="596"/>
      <c r="B372" s="604"/>
      <c r="C372" s="2531"/>
      <c r="D372" s="2531"/>
      <c r="E372" s="2531"/>
      <c r="F372" s="2531"/>
      <c r="G372" s="2531"/>
      <c r="H372" s="2531"/>
      <c r="I372" s="2531"/>
      <c r="J372" s="2531"/>
      <c r="K372" s="2531"/>
      <c r="L372" s="2531"/>
      <c r="M372" s="2531"/>
      <c r="N372" s="2531"/>
      <c r="O372" s="2531"/>
      <c r="P372" s="2531"/>
      <c r="Q372" s="2531"/>
      <c r="R372" s="2531"/>
      <c r="S372" s="2531"/>
      <c r="T372" s="2531"/>
      <c r="U372" s="2531"/>
      <c r="V372" s="2531"/>
      <c r="W372" s="2531"/>
      <c r="X372" s="2531"/>
      <c r="Y372" s="2531"/>
      <c r="Z372" s="2531"/>
      <c r="AA372" s="2531"/>
      <c r="AB372" s="2531"/>
      <c r="AC372" s="2531"/>
      <c r="AD372" s="2531"/>
      <c r="AE372" s="2531"/>
      <c r="AF372" s="2531"/>
      <c r="AG372" s="2531"/>
      <c r="AH372" s="2531"/>
      <c r="AI372" s="2531"/>
      <c r="AJ372" s="2531"/>
      <c r="AK372" s="596"/>
      <c r="AL372" s="596"/>
      <c r="AM372" s="596"/>
      <c r="AN372" s="590"/>
      <c r="AO372" s="686" t="s">
        <v>119</v>
      </c>
      <c r="AP372" s="687">
        <f>IF(C410="Yes",7,0)</f>
        <v>7</v>
      </c>
      <c r="AS372" s="535" t="s">
        <v>1445</v>
      </c>
    </row>
    <row r="373" spans="1:46" s="544" customFormat="1" ht="12.75" customHeight="1">
      <c r="B373" s="604"/>
      <c r="C373" s="2531"/>
      <c r="D373" s="2531"/>
      <c r="E373" s="2531"/>
      <c r="F373" s="2531"/>
      <c r="G373" s="2531"/>
      <c r="H373" s="2531"/>
      <c r="I373" s="2531"/>
      <c r="J373" s="2531"/>
      <c r="K373" s="2531"/>
      <c r="L373" s="2531"/>
      <c r="M373" s="2531"/>
      <c r="N373" s="2531"/>
      <c r="O373" s="2531"/>
      <c r="P373" s="2531"/>
      <c r="Q373" s="2531"/>
      <c r="R373" s="2531"/>
      <c r="S373" s="2531"/>
      <c r="T373" s="2531"/>
      <c r="U373" s="2531"/>
      <c r="V373" s="2531"/>
      <c r="W373" s="2531"/>
      <c r="X373" s="2531"/>
      <c r="Y373" s="2531"/>
      <c r="Z373" s="2531"/>
      <c r="AA373" s="2531"/>
      <c r="AB373" s="2531"/>
      <c r="AC373" s="2531"/>
      <c r="AD373" s="2531"/>
      <c r="AE373" s="2531"/>
      <c r="AF373" s="2531"/>
      <c r="AG373" s="2531"/>
      <c r="AH373" s="2531"/>
      <c r="AI373" s="2531"/>
      <c r="AJ373" s="2531"/>
      <c r="AK373" s="596"/>
      <c r="AL373" s="596"/>
      <c r="AM373" s="596"/>
      <c r="AN373" s="590"/>
      <c r="AO373" s="590"/>
      <c r="AP373" s="687">
        <f>IF(C412="Yes",5,0)</f>
        <v>0</v>
      </c>
      <c r="AS373" s="2561">
        <f>IF(AND(AQ379&gt;0,AQ388&gt;0),(AQ379+AQ388)/2,0)</f>
        <v>0</v>
      </c>
      <c r="AT373" s="2561"/>
    </row>
    <row r="374" spans="1:46" s="544" customFormat="1" ht="12.75" customHeight="1">
      <c r="A374" s="596"/>
      <c r="B374" s="604"/>
      <c r="C374" s="2531"/>
      <c r="D374" s="2531"/>
      <c r="E374" s="2531"/>
      <c r="F374" s="2531"/>
      <c r="G374" s="2531"/>
      <c r="H374" s="2531"/>
      <c r="I374" s="2531"/>
      <c r="J374" s="2531"/>
      <c r="K374" s="2531"/>
      <c r="L374" s="2531"/>
      <c r="M374" s="2531"/>
      <c r="N374" s="2531"/>
      <c r="O374" s="2531"/>
      <c r="P374" s="2531"/>
      <c r="Q374" s="2531"/>
      <c r="R374" s="2531"/>
      <c r="S374" s="2531"/>
      <c r="T374" s="2531"/>
      <c r="U374" s="2531"/>
      <c r="V374" s="2531"/>
      <c r="W374" s="2531"/>
      <c r="X374" s="2531"/>
      <c r="Y374" s="2531"/>
      <c r="Z374" s="2531"/>
      <c r="AA374" s="2531"/>
      <c r="AB374" s="2531"/>
      <c r="AC374" s="2531"/>
      <c r="AD374" s="2531"/>
      <c r="AE374" s="2531"/>
      <c r="AF374" s="2531"/>
      <c r="AG374" s="2531"/>
      <c r="AH374" s="2531"/>
      <c r="AI374" s="2531"/>
      <c r="AJ374" s="2531"/>
      <c r="AK374" s="596"/>
      <c r="AL374" s="596"/>
      <c r="AM374" s="596"/>
      <c r="AN374" s="590"/>
      <c r="AO374" s="686" t="s">
        <v>579</v>
      </c>
      <c r="AP374" s="687">
        <f>IF(C420="Yes",5,0)</f>
        <v>0</v>
      </c>
      <c r="AS374" s="535" t="s">
        <v>1845</v>
      </c>
    </row>
    <row r="375" spans="1:46" s="544" customFormat="1" ht="12.75" customHeight="1">
      <c r="A375" s="596"/>
      <c r="B375" s="604"/>
      <c r="C375" s="2562" t="s">
        <v>2178</v>
      </c>
      <c r="D375" s="2562"/>
      <c r="E375" s="2562"/>
      <c r="F375" s="2562"/>
      <c r="G375" s="2562"/>
      <c r="H375" s="2562"/>
      <c r="I375" s="2562"/>
      <c r="J375" s="2562"/>
      <c r="K375" s="2562"/>
      <c r="L375" s="2562"/>
      <c r="M375" s="2562"/>
      <c r="N375" s="2562"/>
      <c r="O375" s="2562"/>
      <c r="P375" s="2562"/>
      <c r="Q375" s="2562"/>
      <c r="R375" s="2562"/>
      <c r="S375" s="2562"/>
      <c r="T375" s="2562"/>
      <c r="U375" s="2562"/>
      <c r="V375" s="2562"/>
      <c r="W375" s="2562"/>
      <c r="X375" s="2562"/>
      <c r="Y375" s="2562"/>
      <c r="Z375" s="2562"/>
      <c r="AA375" s="2562"/>
      <c r="AB375" s="2562"/>
      <c r="AC375" s="2562"/>
      <c r="AD375" s="2562"/>
      <c r="AE375" s="2562"/>
      <c r="AF375" s="2562"/>
      <c r="AG375" s="2562"/>
      <c r="AH375" s="2562"/>
      <c r="AI375" s="2562"/>
      <c r="AJ375" s="2562"/>
      <c r="AK375" s="596"/>
      <c r="AL375" s="596"/>
      <c r="AM375" s="596"/>
      <c r="AN375" s="590"/>
      <c r="AO375" s="590"/>
      <c r="AP375" s="687">
        <f>IF(C422="Yes",3,0)</f>
        <v>3</v>
      </c>
      <c r="AS375" s="2561">
        <f>IF(AQ379=0,AQ388,AQ379)</f>
        <v>10</v>
      </c>
      <c r="AT375" s="2561"/>
    </row>
    <row r="376" spans="1:46" s="544" customFormat="1" ht="12.75" customHeight="1">
      <c r="A376" s="596"/>
      <c r="B376" s="604"/>
      <c r="C376" s="2562"/>
      <c r="D376" s="2562"/>
      <c r="E376" s="2562"/>
      <c r="F376" s="2562"/>
      <c r="G376" s="2562"/>
      <c r="H376" s="2562"/>
      <c r="I376" s="2562"/>
      <c r="J376" s="2562"/>
      <c r="K376" s="2562"/>
      <c r="L376" s="2562"/>
      <c r="M376" s="2562"/>
      <c r="N376" s="2562"/>
      <c r="O376" s="2562"/>
      <c r="P376" s="2562"/>
      <c r="Q376" s="2562"/>
      <c r="R376" s="2562"/>
      <c r="S376" s="2562"/>
      <c r="T376" s="2562"/>
      <c r="U376" s="2562"/>
      <c r="V376" s="2562"/>
      <c r="W376" s="2562"/>
      <c r="X376" s="2562"/>
      <c r="Y376" s="2562"/>
      <c r="Z376" s="2562"/>
      <c r="AA376" s="2562"/>
      <c r="AB376" s="2562"/>
      <c r="AC376" s="2562"/>
      <c r="AD376" s="2562"/>
      <c r="AE376" s="2562"/>
      <c r="AF376" s="2562"/>
      <c r="AG376" s="2562"/>
      <c r="AH376" s="2562"/>
      <c r="AI376" s="2562"/>
      <c r="AJ376" s="2562"/>
      <c r="AK376" s="596"/>
      <c r="AL376" s="596"/>
      <c r="AM376" s="596"/>
      <c r="AN376" s="590"/>
      <c r="AO376" s="686" t="s">
        <v>761</v>
      </c>
      <c r="AP376" s="687">
        <f>IF(C425="Yes",5,0)</f>
        <v>0</v>
      </c>
    </row>
    <row r="377" spans="1:46" s="544" customFormat="1" ht="12.75" customHeight="1">
      <c r="A377" s="596"/>
      <c r="B377" s="604"/>
      <c r="C377" s="2562"/>
      <c r="D377" s="2562"/>
      <c r="E377" s="2562"/>
      <c r="F377" s="2562"/>
      <c r="G377" s="2562"/>
      <c r="H377" s="2562"/>
      <c r="I377" s="2562"/>
      <c r="J377" s="2562"/>
      <c r="K377" s="2562"/>
      <c r="L377" s="2562"/>
      <c r="M377" s="2562"/>
      <c r="N377" s="2562"/>
      <c r="O377" s="2562"/>
      <c r="P377" s="2562"/>
      <c r="Q377" s="2562"/>
      <c r="R377" s="2562"/>
      <c r="S377" s="2562"/>
      <c r="T377" s="2562"/>
      <c r="U377" s="2562"/>
      <c r="V377" s="2562"/>
      <c r="W377" s="2562"/>
      <c r="X377" s="2562"/>
      <c r="Y377" s="2562"/>
      <c r="Z377" s="2562"/>
      <c r="AA377" s="2562"/>
      <c r="AB377" s="2562"/>
      <c r="AC377" s="2562"/>
      <c r="AD377" s="2562"/>
      <c r="AE377" s="2562"/>
      <c r="AF377" s="2562"/>
      <c r="AG377" s="2562"/>
      <c r="AH377" s="2562"/>
      <c r="AI377" s="2562"/>
      <c r="AJ377" s="2562"/>
      <c r="AK377" s="596"/>
      <c r="AL377" s="596"/>
      <c r="AM377" s="596"/>
      <c r="AN377" s="590"/>
      <c r="AO377" s="686" t="s">
        <v>582</v>
      </c>
      <c r="AP377" s="687">
        <f>IF(C434="Yes",5,0)</f>
        <v>0</v>
      </c>
    </row>
    <row r="378" spans="1:46" s="544" customFormat="1" ht="11.85" customHeight="1">
      <c r="A378" s="596"/>
      <c r="B378" s="604"/>
      <c r="C378" s="2562"/>
      <c r="D378" s="2562"/>
      <c r="E378" s="2562"/>
      <c r="F378" s="2562"/>
      <c r="G378" s="2562"/>
      <c r="H378" s="2562"/>
      <c r="I378" s="2562"/>
      <c r="J378" s="2562"/>
      <c r="K378" s="2562"/>
      <c r="L378" s="2562"/>
      <c r="M378" s="2562"/>
      <c r="N378" s="2562"/>
      <c r="O378" s="2562"/>
      <c r="P378" s="2562"/>
      <c r="Q378" s="2562"/>
      <c r="R378" s="2562"/>
      <c r="S378" s="2562"/>
      <c r="T378" s="2562"/>
      <c r="U378" s="2562"/>
      <c r="V378" s="2562"/>
      <c r="W378" s="2562"/>
      <c r="X378" s="2562"/>
      <c r="Y378" s="2562"/>
      <c r="Z378" s="2562"/>
      <c r="AA378" s="2562"/>
      <c r="AB378" s="2562"/>
      <c r="AC378" s="2562"/>
      <c r="AD378" s="2562"/>
      <c r="AE378" s="2562"/>
      <c r="AF378" s="2562"/>
      <c r="AG378" s="2562"/>
      <c r="AH378" s="2562"/>
      <c r="AI378" s="2562"/>
      <c r="AJ378" s="2562"/>
      <c r="AK378" s="596"/>
      <c r="AL378" s="596"/>
      <c r="AM378" s="596"/>
      <c r="AN378" s="590"/>
      <c r="AO378" s="688"/>
      <c r="AP378" s="689">
        <f>IF(C436="Yes",3,0)</f>
        <v>0</v>
      </c>
    </row>
    <row r="379" spans="1:46" s="544" customFormat="1" ht="12.45" customHeight="1">
      <c r="A379" s="596"/>
      <c r="B379" s="604"/>
      <c r="C379" s="2562"/>
      <c r="D379" s="2562"/>
      <c r="E379" s="2562"/>
      <c r="F379" s="2562"/>
      <c r="G379" s="2562"/>
      <c r="H379" s="2562"/>
      <c r="I379" s="2562"/>
      <c r="J379" s="2562"/>
      <c r="K379" s="2562"/>
      <c r="L379" s="2562"/>
      <c r="M379" s="2562"/>
      <c r="N379" s="2562"/>
      <c r="O379" s="2562"/>
      <c r="P379" s="2562"/>
      <c r="Q379" s="2562"/>
      <c r="R379" s="2562"/>
      <c r="S379" s="2562"/>
      <c r="T379" s="2562"/>
      <c r="U379" s="2562"/>
      <c r="V379" s="2562"/>
      <c r="W379" s="2562"/>
      <c r="X379" s="2562"/>
      <c r="Y379" s="2562"/>
      <c r="Z379" s="2562"/>
      <c r="AA379" s="2562"/>
      <c r="AB379" s="2562"/>
      <c r="AC379" s="2562"/>
      <c r="AD379" s="2562"/>
      <c r="AE379" s="2562"/>
      <c r="AF379" s="2562"/>
      <c r="AG379" s="2562"/>
      <c r="AH379" s="2562"/>
      <c r="AI379" s="2562"/>
      <c r="AJ379" s="2562"/>
      <c r="AK379" s="596"/>
      <c r="AL379" s="596"/>
      <c r="AM379" s="596"/>
      <c r="AN379" s="590"/>
      <c r="AO379" s="690" t="s">
        <v>227</v>
      </c>
      <c r="AP379" s="691">
        <f>SUM(AP370:AP378)</f>
        <v>10</v>
      </c>
      <c r="AQ379" s="2563">
        <f>IF(AP379&gt;0,AP379,0)</f>
        <v>10</v>
      </c>
      <c r="AR379" s="2563"/>
    </row>
    <row r="380" spans="1:46" s="544" customFormat="1" ht="12.75" customHeight="1">
      <c r="A380" s="596"/>
      <c r="B380" s="604"/>
      <c r="C380" s="2562"/>
      <c r="D380" s="2562"/>
      <c r="E380" s="2562"/>
      <c r="F380" s="2562"/>
      <c r="G380" s="2562"/>
      <c r="H380" s="2562"/>
      <c r="I380" s="2562"/>
      <c r="J380" s="2562"/>
      <c r="K380" s="2562"/>
      <c r="L380" s="2562"/>
      <c r="M380" s="2562"/>
      <c r="N380" s="2562"/>
      <c r="O380" s="2562"/>
      <c r="P380" s="2562"/>
      <c r="Q380" s="2562"/>
      <c r="R380" s="2562"/>
      <c r="S380" s="2562"/>
      <c r="T380" s="2562"/>
      <c r="U380" s="2562"/>
      <c r="V380" s="2562"/>
      <c r="W380" s="2562"/>
      <c r="X380" s="2562"/>
      <c r="Y380" s="2562"/>
      <c r="Z380" s="2562"/>
      <c r="AA380" s="2562"/>
      <c r="AB380" s="2562"/>
      <c r="AC380" s="2562"/>
      <c r="AD380" s="2562"/>
      <c r="AE380" s="2562"/>
      <c r="AF380" s="2562"/>
      <c r="AG380" s="2562"/>
      <c r="AH380" s="2562"/>
      <c r="AI380" s="2562"/>
      <c r="AJ380" s="2562"/>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453</v>
      </c>
      <c r="AP381" s="687">
        <f>IF(C443="Yes",5,0)</f>
        <v>0</v>
      </c>
    </row>
    <row r="382" spans="1:46" s="544" customFormat="1" ht="12.75" customHeight="1">
      <c r="A382" s="596"/>
      <c r="B382" s="604"/>
      <c r="C382" s="2531" t="s">
        <v>1446</v>
      </c>
      <c r="D382" s="2531"/>
      <c r="E382" s="2531"/>
      <c r="F382" s="2531"/>
      <c r="G382" s="2531"/>
      <c r="H382" s="2531"/>
      <c r="I382" s="2531"/>
      <c r="J382" s="2531"/>
      <c r="K382" s="2531"/>
      <c r="L382" s="2531"/>
      <c r="M382" s="2531"/>
      <c r="N382" s="2531"/>
      <c r="O382" s="2531"/>
      <c r="P382" s="2531"/>
      <c r="Q382" s="2531"/>
      <c r="R382" s="2531"/>
      <c r="S382" s="2531"/>
      <c r="T382" s="2531"/>
      <c r="U382" s="2531"/>
      <c r="V382" s="2531"/>
      <c r="W382" s="2531"/>
      <c r="X382" s="2531"/>
      <c r="Y382" s="2531"/>
      <c r="Z382" s="2531"/>
      <c r="AA382" s="2531"/>
      <c r="AB382" s="2531"/>
      <c r="AC382" s="2531"/>
      <c r="AD382" s="2531"/>
      <c r="AE382" s="2531"/>
      <c r="AF382" s="2531"/>
      <c r="AG382" s="2531"/>
      <c r="AH382" s="2531"/>
      <c r="AI382" s="2531"/>
      <c r="AJ382" s="2531"/>
      <c r="AK382" s="596"/>
      <c r="AL382" s="596"/>
      <c r="AM382" s="596"/>
      <c r="AN382" s="590"/>
      <c r="AO382" s="686" t="s">
        <v>454</v>
      </c>
      <c r="AP382" s="687">
        <f>IF(C455="Yes",5,0)</f>
        <v>0</v>
      </c>
    </row>
    <row r="383" spans="1:46" s="544" customFormat="1" ht="12.75" customHeight="1">
      <c r="A383" s="596"/>
      <c r="B383" s="604"/>
      <c r="C383" s="2531"/>
      <c r="D383" s="2531"/>
      <c r="E383" s="2531"/>
      <c r="F383" s="2531"/>
      <c r="G383" s="2531"/>
      <c r="H383" s="2531"/>
      <c r="I383" s="2531"/>
      <c r="J383" s="2531"/>
      <c r="K383" s="2531"/>
      <c r="L383" s="2531"/>
      <c r="M383" s="2531"/>
      <c r="N383" s="2531"/>
      <c r="O383" s="2531"/>
      <c r="P383" s="2531"/>
      <c r="Q383" s="2531"/>
      <c r="R383" s="2531"/>
      <c r="S383" s="2531"/>
      <c r="T383" s="2531"/>
      <c r="U383" s="2531"/>
      <c r="V383" s="2531"/>
      <c r="W383" s="2531"/>
      <c r="X383" s="2531"/>
      <c r="Y383" s="2531"/>
      <c r="Z383" s="2531"/>
      <c r="AA383" s="2531"/>
      <c r="AB383" s="2531"/>
      <c r="AC383" s="2531"/>
      <c r="AD383" s="2531"/>
      <c r="AE383" s="2531"/>
      <c r="AF383" s="2531"/>
      <c r="AG383" s="2531"/>
      <c r="AH383" s="2531"/>
      <c r="AI383" s="2531"/>
      <c r="AJ383" s="2531"/>
      <c r="AK383" s="596"/>
      <c r="AL383" s="596"/>
      <c r="AM383" s="596"/>
      <c r="AN383" s="590"/>
      <c r="AO383" s="686" t="s">
        <v>459</v>
      </c>
      <c r="AP383" s="687">
        <f>IF(C462="Yes",5,0)</f>
        <v>0</v>
      </c>
    </row>
    <row r="384" spans="1:46" s="544" customFormat="1" ht="68.099999999999994" customHeight="1">
      <c r="A384" s="596"/>
      <c r="B384" s="604"/>
      <c r="C384" s="2531"/>
      <c r="D384" s="2531"/>
      <c r="E384" s="2531"/>
      <c r="F384" s="2531"/>
      <c r="G384" s="2531"/>
      <c r="H384" s="2531"/>
      <c r="I384" s="2531"/>
      <c r="J384" s="2531"/>
      <c r="K384" s="2531"/>
      <c r="L384" s="2531"/>
      <c r="M384" s="2531"/>
      <c r="N384" s="2531"/>
      <c r="O384" s="2531"/>
      <c r="P384" s="2531"/>
      <c r="Q384" s="2531"/>
      <c r="R384" s="2531"/>
      <c r="S384" s="2531"/>
      <c r="T384" s="2531"/>
      <c r="U384" s="2531"/>
      <c r="V384" s="2531"/>
      <c r="W384" s="2531"/>
      <c r="X384" s="2531"/>
      <c r="Y384" s="2531"/>
      <c r="Z384" s="2531"/>
      <c r="AA384" s="2531"/>
      <c r="AB384" s="2531"/>
      <c r="AC384" s="2531"/>
      <c r="AD384" s="2531"/>
      <c r="AE384" s="2531"/>
      <c r="AF384" s="2531"/>
      <c r="AG384" s="2531"/>
      <c r="AH384" s="2531"/>
      <c r="AI384" s="2531"/>
      <c r="AJ384" s="2531"/>
      <c r="AK384" s="596"/>
      <c r="AL384" s="596"/>
      <c r="AM384" s="596"/>
      <c r="AN384" s="590"/>
      <c r="AO384" s="686" t="s">
        <v>644</v>
      </c>
      <c r="AP384" s="692">
        <f>IF(C466="Yes",5,0)</f>
        <v>0</v>
      </c>
    </row>
    <row r="385" spans="1:81" s="544" customFormat="1" ht="12.45" customHeight="1">
      <c r="B385" s="604"/>
      <c r="C385" s="544" t="s">
        <v>1447</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627">
        <f>Application!DU810-U387</f>
        <v>262</v>
      </c>
      <c r="V386" s="2627"/>
      <c r="W386" s="2627"/>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628">
        <f>IF(Application!D211="SRO",Application!DU763,Application!AG764)</f>
        <v>0</v>
      </c>
      <c r="V387" s="2628"/>
      <c r="W387" s="2628"/>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63">
        <f>IF(AP388&gt;0,AP388,0)</f>
        <v>0</v>
      </c>
      <c r="AR388" s="2563"/>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535" t="s">
        <v>1448</v>
      </c>
      <c r="G390" s="2535"/>
      <c r="H390" s="2535"/>
      <c r="I390" s="2535"/>
      <c r="J390" s="2535"/>
      <c r="K390" s="2535"/>
      <c r="L390" s="2535"/>
      <c r="M390" s="2535"/>
      <c r="N390" s="2535"/>
      <c r="O390" s="2535"/>
      <c r="P390" s="2535"/>
      <c r="Q390" s="2535"/>
      <c r="R390" s="2535"/>
      <c r="S390" s="2535"/>
      <c r="T390" s="2535"/>
      <c r="U390" s="2535"/>
      <c r="V390" s="2535"/>
      <c r="W390" s="2535"/>
      <c r="X390" s="2535"/>
      <c r="Y390" s="2535"/>
      <c r="Z390" s="2535"/>
      <c r="AA390" s="2535"/>
      <c r="AB390" s="2535"/>
      <c r="AC390" s="2535"/>
      <c r="AD390" s="2535"/>
      <c r="AE390" s="2535"/>
      <c r="AF390" s="2535"/>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8"/>
      <c r="G391" s="2408"/>
      <c r="H391" s="2408"/>
      <c r="I391" s="2408"/>
      <c r="J391" s="2408"/>
      <c r="K391" s="2408"/>
      <c r="L391" s="2408"/>
      <c r="M391" s="2408"/>
      <c r="N391" s="2408"/>
      <c r="O391" s="2408"/>
      <c r="P391" s="2408"/>
      <c r="Q391" s="2408"/>
      <c r="R391" s="2408"/>
      <c r="S391" s="2408"/>
      <c r="T391" s="2408"/>
      <c r="U391" s="2408"/>
      <c r="V391" s="2408"/>
      <c r="W391" s="2408"/>
      <c r="X391" s="2408"/>
      <c r="Y391" s="2408"/>
      <c r="Z391" s="2408"/>
      <c r="AA391" s="2408"/>
      <c r="AB391" s="2408"/>
      <c r="AC391" s="2408"/>
      <c r="AD391" s="2408"/>
      <c r="AE391" s="2408"/>
      <c r="AF391" s="2408"/>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8"/>
      <c r="G392" s="2408"/>
      <c r="H392" s="2408"/>
      <c r="I392" s="2408"/>
      <c r="J392" s="2408"/>
      <c r="K392" s="2408"/>
      <c r="L392" s="2408"/>
      <c r="M392" s="2408"/>
      <c r="N392" s="2408"/>
      <c r="O392" s="2408"/>
      <c r="P392" s="2408"/>
      <c r="Q392" s="2408"/>
      <c r="R392" s="2408"/>
      <c r="S392" s="2408"/>
      <c r="T392" s="2408"/>
      <c r="U392" s="2408"/>
      <c r="V392" s="2408"/>
      <c r="W392" s="2408"/>
      <c r="X392" s="2408"/>
      <c r="Y392" s="2408"/>
      <c r="Z392" s="2408"/>
      <c r="AA392" s="2408"/>
      <c r="AB392" s="2408"/>
      <c r="AC392" s="2408"/>
      <c r="AD392" s="2408"/>
      <c r="AE392" s="2408"/>
      <c r="AF392" s="2408"/>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8"/>
      <c r="G393" s="2408"/>
      <c r="H393" s="2408"/>
      <c r="I393" s="2408"/>
      <c r="J393" s="2408"/>
      <c r="K393" s="2408"/>
      <c r="L393" s="2408"/>
      <c r="M393" s="2408"/>
      <c r="N393" s="2408"/>
      <c r="O393" s="2408"/>
      <c r="P393" s="2408"/>
      <c r="Q393" s="2408"/>
      <c r="R393" s="2408"/>
      <c r="S393" s="2408"/>
      <c r="T393" s="2408"/>
      <c r="U393" s="2408"/>
      <c r="V393" s="2408"/>
      <c r="W393" s="2408"/>
      <c r="X393" s="2408"/>
      <c r="Y393" s="2408"/>
      <c r="Z393" s="2408"/>
      <c r="AA393" s="2408"/>
      <c r="AB393" s="2408"/>
      <c r="AC393" s="2408"/>
      <c r="AD393" s="2408"/>
      <c r="AE393" s="2408"/>
      <c r="AF393" s="2408"/>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2" t="s">
        <v>589</v>
      </c>
      <c r="D394" s="2492"/>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3" t="s">
        <v>1450</v>
      </c>
      <c r="AG394" s="2533"/>
      <c r="AH394" s="2533"/>
      <c r="AI394" s="2533"/>
      <c r="AJ394" s="2533"/>
      <c r="AK394" s="2533"/>
      <c r="AL394" s="2534"/>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535" t="s">
        <v>1451</v>
      </c>
      <c r="G397" s="2535"/>
      <c r="H397" s="2535"/>
      <c r="I397" s="2535"/>
      <c r="J397" s="2535"/>
      <c r="K397" s="2535"/>
      <c r="L397" s="2535"/>
      <c r="M397" s="2535"/>
      <c r="N397" s="2535"/>
      <c r="O397" s="2535"/>
      <c r="P397" s="2535"/>
      <c r="Q397" s="2535"/>
      <c r="R397" s="2535"/>
      <c r="S397" s="2535"/>
      <c r="T397" s="2535"/>
      <c r="U397" s="2535"/>
      <c r="V397" s="2535"/>
      <c r="W397" s="2535"/>
      <c r="X397" s="2535"/>
      <c r="Y397" s="2535"/>
      <c r="Z397" s="2535"/>
      <c r="AA397" s="2535"/>
      <c r="AB397" s="2535"/>
      <c r="AC397" s="2535"/>
      <c r="AD397" s="2535"/>
      <c r="AE397" s="2535"/>
      <c r="AF397" s="2535"/>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8"/>
      <c r="G398" s="2408"/>
      <c r="H398" s="2408"/>
      <c r="I398" s="2408"/>
      <c r="J398" s="2408"/>
      <c r="K398" s="2408"/>
      <c r="L398" s="2408"/>
      <c r="M398" s="2408"/>
      <c r="N398" s="2408"/>
      <c r="O398" s="2408"/>
      <c r="P398" s="2408"/>
      <c r="Q398" s="2408"/>
      <c r="R398" s="2408"/>
      <c r="S398" s="2408"/>
      <c r="T398" s="2408"/>
      <c r="U398" s="2408"/>
      <c r="V398" s="2408"/>
      <c r="W398" s="2408"/>
      <c r="X398" s="2408"/>
      <c r="Y398" s="2408"/>
      <c r="Z398" s="2408"/>
      <c r="AA398" s="2408"/>
      <c r="AB398" s="2408"/>
      <c r="AC398" s="2408"/>
      <c r="AD398" s="2408"/>
      <c r="AE398" s="2408"/>
      <c r="AF398" s="2408"/>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8"/>
      <c r="G399" s="2408"/>
      <c r="H399" s="2408"/>
      <c r="I399" s="2408"/>
      <c r="J399" s="2408"/>
      <c r="K399" s="2408"/>
      <c r="L399" s="2408"/>
      <c r="M399" s="2408"/>
      <c r="N399" s="2408"/>
      <c r="O399" s="2408"/>
      <c r="P399" s="2408"/>
      <c r="Q399" s="2408"/>
      <c r="R399" s="2408"/>
      <c r="S399" s="2408"/>
      <c r="T399" s="2408"/>
      <c r="U399" s="2408"/>
      <c r="V399" s="2408"/>
      <c r="W399" s="2408"/>
      <c r="X399" s="2408"/>
      <c r="Y399" s="2408"/>
      <c r="Z399" s="2408"/>
      <c r="AA399" s="2408"/>
      <c r="AB399" s="2408"/>
      <c r="AC399" s="2408"/>
      <c r="AD399" s="2408"/>
      <c r="AE399" s="2408"/>
      <c r="AF399" s="2408"/>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8"/>
      <c r="G400" s="2408"/>
      <c r="H400" s="2408"/>
      <c r="I400" s="2408"/>
      <c r="J400" s="2408"/>
      <c r="K400" s="2408"/>
      <c r="L400" s="2408"/>
      <c r="M400" s="2408"/>
      <c r="N400" s="2408"/>
      <c r="O400" s="2408"/>
      <c r="P400" s="2408"/>
      <c r="Q400" s="2408"/>
      <c r="R400" s="2408"/>
      <c r="S400" s="2408"/>
      <c r="T400" s="2408"/>
      <c r="U400" s="2408"/>
      <c r="V400" s="2408"/>
      <c r="W400" s="2408"/>
      <c r="X400" s="2408"/>
      <c r="Y400" s="2408"/>
      <c r="Z400" s="2408"/>
      <c r="AA400" s="2408"/>
      <c r="AB400" s="2408"/>
      <c r="AC400" s="2408"/>
      <c r="AD400" s="2408"/>
      <c r="AE400" s="2408"/>
      <c r="AF400" s="2408"/>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8"/>
      <c r="G401" s="2408"/>
      <c r="H401" s="2408"/>
      <c r="I401" s="2408"/>
      <c r="J401" s="2408"/>
      <c r="K401" s="2408"/>
      <c r="L401" s="2408"/>
      <c r="M401" s="2408"/>
      <c r="N401" s="2408"/>
      <c r="O401" s="2408"/>
      <c r="P401" s="2408"/>
      <c r="Q401" s="2408"/>
      <c r="R401" s="2408"/>
      <c r="S401" s="2408"/>
      <c r="T401" s="2408"/>
      <c r="U401" s="2408"/>
      <c r="V401" s="2408"/>
      <c r="W401" s="2408"/>
      <c r="X401" s="2408"/>
      <c r="Y401" s="2408"/>
      <c r="Z401" s="2408"/>
      <c r="AA401" s="2408"/>
      <c r="AB401" s="2408"/>
      <c r="AC401" s="2408"/>
      <c r="AD401" s="2408"/>
      <c r="AE401" s="2408"/>
      <c r="AF401" s="2408"/>
      <c r="AL401" s="723"/>
      <c r="AN401" s="590"/>
      <c r="BS401" s="30"/>
      <c r="BT401" s="30"/>
      <c r="BU401" s="14"/>
      <c r="BV401" s="14"/>
      <c r="BW401" s="14"/>
      <c r="BX401" s="14"/>
      <c r="BY401" s="14"/>
      <c r="BZ401" s="14"/>
      <c r="CA401" s="14"/>
      <c r="CB401" s="14"/>
      <c r="CC401" s="14"/>
    </row>
    <row r="402" spans="1:81" s="544" customFormat="1" ht="12.75" customHeight="1">
      <c r="A402" s="532"/>
      <c r="B402" s="14"/>
      <c r="C402" s="2532" t="s">
        <v>589</v>
      </c>
      <c r="D402" s="2492"/>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3" t="s">
        <v>1450</v>
      </c>
      <c r="AG402" s="2533"/>
      <c r="AH402" s="2533"/>
      <c r="AI402" s="2533"/>
      <c r="AJ402" s="2533"/>
      <c r="AK402" s="2533"/>
      <c r="AL402" s="2534"/>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535" t="s">
        <v>1453</v>
      </c>
      <c r="G405" s="2535"/>
      <c r="H405" s="2535"/>
      <c r="I405" s="2535"/>
      <c r="J405" s="2535"/>
      <c r="K405" s="2535"/>
      <c r="L405" s="2535"/>
      <c r="M405" s="2535"/>
      <c r="N405" s="2535"/>
      <c r="O405" s="2535"/>
      <c r="P405" s="2535"/>
      <c r="Q405" s="2535"/>
      <c r="R405" s="2535"/>
      <c r="S405" s="2535"/>
      <c r="T405" s="2535"/>
      <c r="U405" s="2535"/>
      <c r="V405" s="2535"/>
      <c r="W405" s="2535"/>
      <c r="X405" s="2535"/>
      <c r="Y405" s="2535"/>
      <c r="Z405" s="2535"/>
      <c r="AA405" s="2535"/>
      <c r="AB405" s="2535"/>
      <c r="AC405" s="2535"/>
      <c r="AD405" s="2535"/>
      <c r="AE405" s="2535"/>
      <c r="AF405" s="2535"/>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8"/>
      <c r="G406" s="2408"/>
      <c r="H406" s="2408"/>
      <c r="I406" s="2408"/>
      <c r="J406" s="2408"/>
      <c r="K406" s="2408"/>
      <c r="L406" s="2408"/>
      <c r="M406" s="2408"/>
      <c r="N406" s="2408"/>
      <c r="O406" s="2408"/>
      <c r="P406" s="2408"/>
      <c r="Q406" s="2408"/>
      <c r="R406" s="2408"/>
      <c r="S406" s="2408"/>
      <c r="T406" s="2408"/>
      <c r="U406" s="2408"/>
      <c r="V406" s="2408"/>
      <c r="W406" s="2408"/>
      <c r="X406" s="2408"/>
      <c r="Y406" s="2408"/>
      <c r="Z406" s="2408"/>
      <c r="AA406" s="2408"/>
      <c r="AB406" s="2408"/>
      <c r="AC406" s="2408"/>
      <c r="AD406" s="2408"/>
      <c r="AE406" s="2408"/>
      <c r="AF406" s="2408"/>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8"/>
      <c r="G407" s="2408"/>
      <c r="H407" s="2408"/>
      <c r="I407" s="2408"/>
      <c r="J407" s="2408"/>
      <c r="K407" s="2408"/>
      <c r="L407" s="2408"/>
      <c r="M407" s="2408"/>
      <c r="N407" s="2408"/>
      <c r="O407" s="2408"/>
      <c r="P407" s="2408"/>
      <c r="Q407" s="2408"/>
      <c r="R407" s="2408"/>
      <c r="S407" s="2408"/>
      <c r="T407" s="2408"/>
      <c r="U407" s="2408"/>
      <c r="V407" s="2408"/>
      <c r="W407" s="2408"/>
      <c r="X407" s="2408"/>
      <c r="Y407" s="2408"/>
      <c r="Z407" s="2408"/>
      <c r="AA407" s="2408"/>
      <c r="AB407" s="2408"/>
      <c r="AC407" s="2408"/>
      <c r="AD407" s="2408"/>
      <c r="AE407" s="2408"/>
      <c r="AF407" s="2408"/>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8"/>
      <c r="G408" s="2408"/>
      <c r="H408" s="2408"/>
      <c r="I408" s="2408"/>
      <c r="J408" s="2408"/>
      <c r="K408" s="2408"/>
      <c r="L408" s="2408"/>
      <c r="M408" s="2408"/>
      <c r="N408" s="2408"/>
      <c r="O408" s="2408"/>
      <c r="P408" s="2408"/>
      <c r="Q408" s="2408"/>
      <c r="R408" s="2408"/>
      <c r="S408" s="2408"/>
      <c r="T408" s="2408"/>
      <c r="U408" s="2408"/>
      <c r="V408" s="2408"/>
      <c r="W408" s="2408"/>
      <c r="X408" s="2408"/>
      <c r="Y408" s="2408"/>
      <c r="Z408" s="2408"/>
      <c r="AA408" s="2408"/>
      <c r="AB408" s="2408"/>
      <c r="AC408" s="2408"/>
      <c r="AD408" s="2408"/>
      <c r="AE408" s="2408"/>
      <c r="AF408" s="2408"/>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8"/>
      <c r="G409" s="2408"/>
      <c r="H409" s="2408"/>
      <c r="I409" s="2408"/>
      <c r="J409" s="2408"/>
      <c r="K409" s="2408"/>
      <c r="L409" s="2408"/>
      <c r="M409" s="2408"/>
      <c r="N409" s="2408"/>
      <c r="O409" s="2408"/>
      <c r="P409" s="2408"/>
      <c r="Q409" s="2408"/>
      <c r="R409" s="2408"/>
      <c r="S409" s="2408"/>
      <c r="T409" s="2408"/>
      <c r="U409" s="2408"/>
      <c r="V409" s="2408"/>
      <c r="W409" s="2408"/>
      <c r="X409" s="2408"/>
      <c r="Y409" s="2408"/>
      <c r="Z409" s="2408"/>
      <c r="AA409" s="2408"/>
      <c r="AB409" s="2408"/>
      <c r="AC409" s="2408"/>
      <c r="AD409" s="2408"/>
      <c r="AE409" s="2408"/>
      <c r="AF409" s="2408"/>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2" t="s">
        <v>543</v>
      </c>
      <c r="D410" s="2492"/>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3" t="s">
        <v>1455</v>
      </c>
      <c r="AG410" s="2533"/>
      <c r="AH410" s="2533"/>
      <c r="AI410" s="2533"/>
      <c r="AJ410" s="2533"/>
      <c r="AK410" s="2533"/>
      <c r="AL410" s="2534"/>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2" t="s">
        <v>589</v>
      </c>
      <c r="D412" s="2492"/>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3" t="s">
        <v>1450</v>
      </c>
      <c r="AG412" s="2533"/>
      <c r="AH412" s="2533"/>
      <c r="AI412" s="2533"/>
      <c r="AJ412" s="2533"/>
      <c r="AK412" s="2533"/>
      <c r="AL412" s="2534"/>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535" t="s">
        <v>1459</v>
      </c>
      <c r="G416" s="2535"/>
      <c r="H416" s="2535"/>
      <c r="I416" s="2535"/>
      <c r="J416" s="2535"/>
      <c r="K416" s="2535"/>
      <c r="L416" s="2535"/>
      <c r="M416" s="2535"/>
      <c r="N416" s="2535"/>
      <c r="O416" s="2535"/>
      <c r="P416" s="2535"/>
      <c r="Q416" s="2535"/>
      <c r="R416" s="2535"/>
      <c r="S416" s="2535"/>
      <c r="T416" s="2535"/>
      <c r="U416" s="2535"/>
      <c r="V416" s="2535"/>
      <c r="W416" s="2535"/>
      <c r="X416" s="2535"/>
      <c r="Y416" s="2535"/>
      <c r="Z416" s="2535"/>
      <c r="AA416" s="2535"/>
      <c r="AB416" s="2535"/>
      <c r="AC416" s="2535"/>
      <c r="AD416" s="2535"/>
      <c r="AE416" s="2535"/>
      <c r="AF416" s="2535"/>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8"/>
      <c r="G417" s="2408"/>
      <c r="H417" s="2408"/>
      <c r="I417" s="2408"/>
      <c r="J417" s="2408"/>
      <c r="K417" s="2408"/>
      <c r="L417" s="2408"/>
      <c r="M417" s="2408"/>
      <c r="N417" s="2408"/>
      <c r="O417" s="2408"/>
      <c r="P417" s="2408"/>
      <c r="Q417" s="2408"/>
      <c r="R417" s="2408"/>
      <c r="S417" s="2408"/>
      <c r="T417" s="2408"/>
      <c r="U417" s="2408"/>
      <c r="V417" s="2408"/>
      <c r="W417" s="2408"/>
      <c r="X417" s="2408"/>
      <c r="Y417" s="2408"/>
      <c r="Z417" s="2408"/>
      <c r="AA417" s="2408"/>
      <c r="AB417" s="2408"/>
      <c r="AC417" s="2408"/>
      <c r="AD417" s="2408"/>
      <c r="AE417" s="2408"/>
      <c r="AF417" s="2408"/>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08"/>
      <c r="G418" s="2408"/>
      <c r="H418" s="2408"/>
      <c r="I418" s="2408"/>
      <c r="J418" s="2408"/>
      <c r="K418" s="2408"/>
      <c r="L418" s="2408"/>
      <c r="M418" s="2408"/>
      <c r="N418" s="2408"/>
      <c r="O418" s="2408"/>
      <c r="P418" s="2408"/>
      <c r="Q418" s="2408"/>
      <c r="R418" s="2408"/>
      <c r="S418" s="2408"/>
      <c r="T418" s="2408"/>
      <c r="U418" s="2408"/>
      <c r="V418" s="2408"/>
      <c r="W418" s="2408"/>
      <c r="X418" s="2408"/>
      <c r="Y418" s="2408"/>
      <c r="Z418" s="2408"/>
      <c r="AA418" s="2408"/>
      <c r="AB418" s="2408"/>
      <c r="AC418" s="2408"/>
      <c r="AD418" s="2408"/>
      <c r="AE418" s="2408"/>
      <c r="AF418" s="2408"/>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8"/>
      <c r="G419" s="2408"/>
      <c r="H419" s="2408"/>
      <c r="I419" s="2408"/>
      <c r="J419" s="2408"/>
      <c r="K419" s="2408"/>
      <c r="L419" s="2408"/>
      <c r="M419" s="2408"/>
      <c r="N419" s="2408"/>
      <c r="O419" s="2408"/>
      <c r="P419" s="2408"/>
      <c r="Q419" s="2408"/>
      <c r="R419" s="2408"/>
      <c r="S419" s="2408"/>
      <c r="T419" s="2408"/>
      <c r="U419" s="2408"/>
      <c r="V419" s="2408"/>
      <c r="W419" s="2408"/>
      <c r="X419" s="2408"/>
      <c r="Y419" s="2408"/>
      <c r="Z419" s="2408"/>
      <c r="AA419" s="2408"/>
      <c r="AB419" s="2408"/>
      <c r="AC419" s="2408"/>
      <c r="AD419" s="2408"/>
      <c r="AE419" s="2408"/>
      <c r="AF419" s="2408"/>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2" t="s">
        <v>589</v>
      </c>
      <c r="D420" s="2492"/>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3" t="s">
        <v>1450</v>
      </c>
      <c r="AG420" s="2533"/>
      <c r="AH420" s="2533"/>
      <c r="AI420" s="2533"/>
      <c r="AJ420" s="2533"/>
      <c r="AK420" s="2533"/>
      <c r="AL420" s="2534"/>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2" t="s">
        <v>543</v>
      </c>
      <c r="D422" s="2492"/>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3" t="s">
        <v>1462</v>
      </c>
      <c r="AG422" s="2533"/>
      <c r="AH422" s="2533"/>
      <c r="AI422" s="2533"/>
      <c r="AJ422" s="2533"/>
      <c r="AK422" s="2533"/>
      <c r="AL422" s="2534"/>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2" t="s">
        <v>589</v>
      </c>
      <c r="D425" s="2492"/>
      <c r="E425" s="706" t="s">
        <v>1463</v>
      </c>
      <c r="F425" s="2535" t="s">
        <v>1464</v>
      </c>
      <c r="G425" s="2535"/>
      <c r="H425" s="2535"/>
      <c r="I425" s="2535"/>
      <c r="J425" s="2535"/>
      <c r="K425" s="2535"/>
      <c r="L425" s="2535"/>
      <c r="M425" s="2535"/>
      <c r="N425" s="2535"/>
      <c r="O425" s="2535"/>
      <c r="P425" s="2535"/>
      <c r="Q425" s="2535"/>
      <c r="R425" s="2535"/>
      <c r="S425" s="2535"/>
      <c r="T425" s="2535"/>
      <c r="U425" s="2535"/>
      <c r="V425" s="2535"/>
      <c r="W425" s="2535"/>
      <c r="X425" s="2535"/>
      <c r="Y425" s="2535"/>
      <c r="Z425" s="2535"/>
      <c r="AA425" s="2535"/>
      <c r="AB425" s="2535"/>
      <c r="AC425" s="2535"/>
      <c r="AD425" s="2535"/>
      <c r="AE425" s="2535"/>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8"/>
      <c r="G426" s="2408"/>
      <c r="H426" s="2408"/>
      <c r="I426" s="2408"/>
      <c r="J426" s="2408"/>
      <c r="K426" s="2408"/>
      <c r="L426" s="2408"/>
      <c r="M426" s="2408"/>
      <c r="N426" s="2408"/>
      <c r="O426" s="2408"/>
      <c r="P426" s="2408"/>
      <c r="Q426" s="2408"/>
      <c r="R426" s="2408"/>
      <c r="S426" s="2408"/>
      <c r="T426" s="2408"/>
      <c r="U426" s="2408"/>
      <c r="V426" s="2408"/>
      <c r="W426" s="2408"/>
      <c r="X426" s="2408"/>
      <c r="Y426" s="2408"/>
      <c r="Z426" s="2408"/>
      <c r="AA426" s="2408"/>
      <c r="AB426" s="2408"/>
      <c r="AC426" s="2408"/>
      <c r="AD426" s="2408"/>
      <c r="AE426" s="2408"/>
      <c r="AF426" s="2470" t="s">
        <v>1450</v>
      </c>
      <c r="AG426" s="2470"/>
      <c r="AH426" s="2470"/>
      <c r="AI426" s="2470"/>
      <c r="AJ426" s="2470"/>
      <c r="AK426" s="2470"/>
      <c r="AL426" s="2536"/>
      <c r="AM426" s="563"/>
      <c r="AN426" s="590"/>
      <c r="BS426" s="563"/>
      <c r="BT426" s="563"/>
      <c r="BY426" s="563"/>
      <c r="BZ426" s="563"/>
      <c r="CA426" s="563"/>
      <c r="CB426" s="563"/>
      <c r="CC426" s="563"/>
    </row>
    <row r="427" spans="1:81" s="544" customFormat="1" ht="12.75" customHeight="1">
      <c r="A427" s="532"/>
      <c r="B427" s="14"/>
      <c r="C427" s="722"/>
      <c r="D427" s="14"/>
      <c r="E427" s="682"/>
      <c r="F427" s="2408"/>
      <c r="G427" s="2408"/>
      <c r="H427" s="2408"/>
      <c r="I427" s="2408"/>
      <c r="J427" s="2408"/>
      <c r="K427" s="2408"/>
      <c r="L427" s="2408"/>
      <c r="M427" s="2408"/>
      <c r="N427" s="2408"/>
      <c r="O427" s="2408"/>
      <c r="P427" s="2408"/>
      <c r="Q427" s="2408"/>
      <c r="R427" s="2408"/>
      <c r="S427" s="2408"/>
      <c r="T427" s="2408"/>
      <c r="U427" s="2408"/>
      <c r="V427" s="2408"/>
      <c r="W427" s="2408"/>
      <c r="X427" s="2408"/>
      <c r="Y427" s="2408"/>
      <c r="Z427" s="2408"/>
      <c r="AA427" s="2408"/>
      <c r="AB427" s="2408"/>
      <c r="AC427" s="2408"/>
      <c r="AD427" s="2408"/>
      <c r="AE427" s="2408"/>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4"/>
      <c r="G428" s="2564"/>
      <c r="H428" s="2564"/>
      <c r="I428" s="2564"/>
      <c r="J428" s="2564"/>
      <c r="K428" s="2564"/>
      <c r="L428" s="2564"/>
      <c r="M428" s="2564"/>
      <c r="N428" s="2564"/>
      <c r="O428" s="2564"/>
      <c r="P428" s="2564"/>
      <c r="Q428" s="2564"/>
      <c r="R428" s="2564"/>
      <c r="S428" s="2564"/>
      <c r="T428" s="2564"/>
      <c r="U428" s="2564"/>
      <c r="V428" s="2564"/>
      <c r="W428" s="2564"/>
      <c r="X428" s="2564"/>
      <c r="Y428" s="2564"/>
      <c r="Z428" s="2564"/>
      <c r="AA428" s="2564"/>
      <c r="AB428" s="2564"/>
      <c r="AC428" s="2564"/>
      <c r="AD428" s="2564"/>
      <c r="AE428" s="2564"/>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535" t="s">
        <v>1466</v>
      </c>
      <c r="G430" s="2535"/>
      <c r="H430" s="2535"/>
      <c r="I430" s="2535"/>
      <c r="J430" s="2535"/>
      <c r="K430" s="2535"/>
      <c r="L430" s="2535"/>
      <c r="M430" s="2535"/>
      <c r="N430" s="2535"/>
      <c r="O430" s="2535"/>
      <c r="P430" s="2535"/>
      <c r="Q430" s="2535"/>
      <c r="R430" s="2535"/>
      <c r="S430" s="2535"/>
      <c r="T430" s="2535"/>
      <c r="U430" s="2535"/>
      <c r="V430" s="2535"/>
      <c r="W430" s="2535"/>
      <c r="X430" s="2535"/>
      <c r="Y430" s="2535"/>
      <c r="Z430" s="2535"/>
      <c r="AA430" s="2535"/>
      <c r="AB430" s="2535"/>
      <c r="AC430" s="2535"/>
      <c r="AD430" s="2535"/>
      <c r="AE430" s="2535"/>
      <c r="AF430" s="738"/>
      <c r="AG430" s="738"/>
      <c r="AH430" s="738"/>
      <c r="AI430" s="738"/>
      <c r="AJ430" s="738"/>
      <c r="AK430" s="738"/>
      <c r="AL430" s="739"/>
      <c r="AM430" s="563"/>
    </row>
    <row r="431" spans="1:81">
      <c r="A431" s="532"/>
      <c r="C431" s="722"/>
      <c r="E431" s="682"/>
      <c r="F431" s="2408"/>
      <c r="G431" s="2408"/>
      <c r="H431" s="2408"/>
      <c r="I431" s="2408"/>
      <c r="J431" s="2408"/>
      <c r="K431" s="2408"/>
      <c r="L431" s="2408"/>
      <c r="M431" s="2408"/>
      <c r="N431" s="2408"/>
      <c r="O431" s="2408"/>
      <c r="P431" s="2408"/>
      <c r="Q431" s="2408"/>
      <c r="R431" s="2408"/>
      <c r="S431" s="2408"/>
      <c r="T431" s="2408"/>
      <c r="U431" s="2408"/>
      <c r="V431" s="2408"/>
      <c r="W431" s="2408"/>
      <c r="X431" s="2408"/>
      <c r="Y431" s="2408"/>
      <c r="Z431" s="2408"/>
      <c r="AA431" s="2408"/>
      <c r="AB431" s="2408"/>
      <c r="AC431" s="2408"/>
      <c r="AD431" s="2408"/>
      <c r="AE431" s="2408"/>
      <c r="AF431" s="535"/>
      <c r="AG431" s="532"/>
      <c r="AH431" s="544"/>
      <c r="AI431" s="544"/>
      <c r="AJ431" s="544"/>
      <c r="AK431" s="544"/>
      <c r="AL431" s="723"/>
      <c r="AM431" s="563"/>
    </row>
    <row r="432" spans="1:81" s="544" customFormat="1" ht="12.75" customHeight="1">
      <c r="A432" s="532"/>
      <c r="B432" s="14"/>
      <c r="C432" s="722"/>
      <c r="D432" s="14"/>
      <c r="E432" s="682"/>
      <c r="F432" s="2408"/>
      <c r="G432" s="2408"/>
      <c r="H432" s="2408"/>
      <c r="I432" s="2408"/>
      <c r="J432" s="2408"/>
      <c r="K432" s="2408"/>
      <c r="L432" s="2408"/>
      <c r="M432" s="2408"/>
      <c r="N432" s="2408"/>
      <c r="O432" s="2408"/>
      <c r="P432" s="2408"/>
      <c r="Q432" s="2408"/>
      <c r="R432" s="2408"/>
      <c r="S432" s="2408"/>
      <c r="T432" s="2408"/>
      <c r="U432" s="2408"/>
      <c r="V432" s="2408"/>
      <c r="W432" s="2408"/>
      <c r="X432" s="2408"/>
      <c r="Y432" s="2408"/>
      <c r="Z432" s="2408"/>
      <c r="AA432" s="2408"/>
      <c r="AB432" s="2408"/>
      <c r="AC432" s="2408"/>
      <c r="AD432" s="2408"/>
      <c r="AE432" s="2408"/>
      <c r="AL432" s="723"/>
      <c r="AM432" s="563"/>
      <c r="AN432" s="590"/>
    </row>
    <row r="433" spans="1:60" s="544" customFormat="1" ht="12.75" customHeight="1">
      <c r="A433" s="532"/>
      <c r="B433" s="14"/>
      <c r="C433" s="730"/>
      <c r="F433" s="2408"/>
      <c r="G433" s="2408"/>
      <c r="H433" s="2408"/>
      <c r="I433" s="2408"/>
      <c r="J433" s="2408"/>
      <c r="K433" s="2408"/>
      <c r="L433" s="2408"/>
      <c r="M433" s="2408"/>
      <c r="N433" s="2408"/>
      <c r="O433" s="2408"/>
      <c r="P433" s="2408"/>
      <c r="Q433" s="2408"/>
      <c r="R433" s="2408"/>
      <c r="S433" s="2408"/>
      <c r="T433" s="2408"/>
      <c r="U433" s="2408"/>
      <c r="V433" s="2408"/>
      <c r="W433" s="2408"/>
      <c r="X433" s="2408"/>
      <c r="Y433" s="2408"/>
      <c r="Z433" s="2408"/>
      <c r="AA433" s="2408"/>
      <c r="AB433" s="2408"/>
      <c r="AC433" s="2408"/>
      <c r="AD433" s="2408"/>
      <c r="AE433" s="2408"/>
      <c r="AL433" s="723"/>
      <c r="AM433" s="563"/>
      <c r="AN433" s="590"/>
    </row>
    <row r="434" spans="1:60" s="544" customFormat="1" ht="12.75" customHeight="1">
      <c r="A434" s="532"/>
      <c r="B434" s="14"/>
      <c r="C434" s="2532" t="s">
        <v>589</v>
      </c>
      <c r="D434" s="2492"/>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0" t="s">
        <v>1450</v>
      </c>
      <c r="AG434" s="2470"/>
      <c r="AH434" s="2470"/>
      <c r="AI434" s="2470"/>
      <c r="AJ434" s="2470"/>
      <c r="AK434" s="2470"/>
      <c r="AL434" s="2536"/>
      <c r="AM434" s="563"/>
      <c r="AN434" s="590"/>
    </row>
    <row r="435" spans="1:60" s="544" customFormat="1" ht="12.75" customHeight="1">
      <c r="A435" s="532"/>
      <c r="B435" s="14"/>
      <c r="C435" s="730"/>
      <c r="AL435" s="723"/>
      <c r="AM435" s="563"/>
      <c r="AN435" s="590"/>
    </row>
    <row r="436" spans="1:60" s="544" customFormat="1" ht="12.75" customHeight="1">
      <c r="A436" s="532"/>
      <c r="B436" s="14"/>
      <c r="C436" s="2532" t="s">
        <v>589</v>
      </c>
      <c r="D436" s="2492"/>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0" t="s">
        <v>1462</v>
      </c>
      <c r="AG436" s="2470"/>
      <c r="AH436" s="2470"/>
      <c r="AI436" s="2470"/>
      <c r="AJ436" s="2470"/>
      <c r="AK436" s="2470"/>
      <c r="AL436" s="2536"/>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535" t="s">
        <v>1470</v>
      </c>
      <c r="G440" s="2535"/>
      <c r="H440" s="2535"/>
      <c r="I440" s="2535"/>
      <c r="J440" s="2535"/>
      <c r="K440" s="2535"/>
      <c r="L440" s="2535"/>
      <c r="M440" s="2535"/>
      <c r="N440" s="2535"/>
      <c r="O440" s="2535"/>
      <c r="P440" s="2535"/>
      <c r="Q440" s="2535"/>
      <c r="R440" s="2535"/>
      <c r="S440" s="2535"/>
      <c r="T440" s="2535"/>
      <c r="U440" s="2535"/>
      <c r="V440" s="2535"/>
      <c r="W440" s="2535"/>
      <c r="X440" s="2535"/>
      <c r="Y440" s="2535"/>
      <c r="Z440" s="2535"/>
      <c r="AA440" s="2535"/>
      <c r="AB440" s="2535"/>
      <c r="AC440" s="2535"/>
      <c r="AD440" s="2535"/>
      <c r="AE440" s="2535"/>
      <c r="AF440" s="705"/>
      <c r="AG440" s="705"/>
      <c r="AH440" s="705"/>
      <c r="AI440" s="705"/>
      <c r="AJ440" s="705"/>
      <c r="AK440" s="705"/>
      <c r="AL440" s="736"/>
      <c r="AM440" s="563"/>
      <c r="AN440" s="590"/>
    </row>
    <row r="441" spans="1:60" s="544" customFormat="1" ht="12.75" customHeight="1">
      <c r="A441" s="532"/>
      <c r="B441" s="14"/>
      <c r="C441" s="722"/>
      <c r="D441" s="14"/>
      <c r="E441" s="682"/>
      <c r="F441" s="2408"/>
      <c r="G441" s="2408"/>
      <c r="H441" s="2408"/>
      <c r="I441" s="2408"/>
      <c r="J441" s="2408"/>
      <c r="K441" s="2408"/>
      <c r="L441" s="2408"/>
      <c r="M441" s="2408"/>
      <c r="N441" s="2408"/>
      <c r="O441" s="2408"/>
      <c r="P441" s="2408"/>
      <c r="Q441" s="2408"/>
      <c r="R441" s="2408"/>
      <c r="S441" s="2408"/>
      <c r="T441" s="2408"/>
      <c r="U441" s="2408"/>
      <c r="V441" s="2408"/>
      <c r="W441" s="2408"/>
      <c r="X441" s="2408"/>
      <c r="Y441" s="2408"/>
      <c r="Z441" s="2408"/>
      <c r="AA441" s="2408"/>
      <c r="AB441" s="2408"/>
      <c r="AC441" s="2408"/>
      <c r="AD441" s="2408"/>
      <c r="AE441" s="2408"/>
      <c r="AF441" s="535"/>
      <c r="AG441" s="532"/>
      <c r="AL441" s="723"/>
      <c r="AM441" s="563"/>
      <c r="AN441" s="590"/>
    </row>
    <row r="442" spans="1:60" s="544" customFormat="1" ht="12.45" customHeight="1">
      <c r="A442" s="532"/>
      <c r="B442" s="14"/>
      <c r="C442" s="722"/>
      <c r="D442" s="14"/>
      <c r="E442" s="682"/>
      <c r="F442" s="2408"/>
      <c r="G442" s="2408"/>
      <c r="H442" s="2408"/>
      <c r="I442" s="2408"/>
      <c r="J442" s="2408"/>
      <c r="K442" s="2408"/>
      <c r="L442" s="2408"/>
      <c r="M442" s="2408"/>
      <c r="N442" s="2408"/>
      <c r="O442" s="2408"/>
      <c r="P442" s="2408"/>
      <c r="Q442" s="2408"/>
      <c r="R442" s="2408"/>
      <c r="S442" s="2408"/>
      <c r="T442" s="2408"/>
      <c r="U442" s="2408"/>
      <c r="V442" s="2408"/>
      <c r="W442" s="2408"/>
      <c r="X442" s="2408"/>
      <c r="Y442" s="2408"/>
      <c r="Z442" s="2408"/>
      <c r="AA442" s="2408"/>
      <c r="AB442" s="2408"/>
      <c r="AC442" s="2408"/>
      <c r="AD442" s="2408"/>
      <c r="AE442" s="2408"/>
      <c r="AL442" s="723"/>
      <c r="AM442" s="563"/>
      <c r="AN442" s="590"/>
    </row>
    <row r="443" spans="1:60" s="544" customFormat="1" ht="12.75" customHeight="1">
      <c r="A443" s="532"/>
      <c r="B443" s="14"/>
      <c r="C443" s="2532" t="s">
        <v>589</v>
      </c>
      <c r="D443" s="2492"/>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0" t="s">
        <v>1450</v>
      </c>
      <c r="AG443" s="2470"/>
      <c r="AH443" s="2470"/>
      <c r="AI443" s="2470"/>
      <c r="AJ443" s="2470"/>
      <c r="AK443" s="2470"/>
      <c r="AL443" s="2536"/>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 customHeight="1">
      <c r="A446" s="532"/>
      <c r="C446" s="737"/>
      <c r="D446" s="738"/>
      <c r="E446" s="706" t="s">
        <v>1472</v>
      </c>
      <c r="F446" s="2535" t="s">
        <v>1473</v>
      </c>
      <c r="G446" s="2535"/>
      <c r="H446" s="2535"/>
      <c r="I446" s="2535"/>
      <c r="J446" s="2535"/>
      <c r="K446" s="2535"/>
      <c r="L446" s="2535"/>
      <c r="M446" s="2535"/>
      <c r="N446" s="2535"/>
      <c r="O446" s="2535"/>
      <c r="P446" s="2535"/>
      <c r="Q446" s="2535"/>
      <c r="R446" s="2535"/>
      <c r="S446" s="2535"/>
      <c r="T446" s="2535"/>
      <c r="U446" s="2535"/>
      <c r="V446" s="2535"/>
      <c r="W446" s="2535"/>
      <c r="X446" s="2535"/>
      <c r="Y446" s="2535"/>
      <c r="Z446" s="2535"/>
      <c r="AA446" s="2535"/>
      <c r="AB446" s="2535"/>
      <c r="AC446" s="2535"/>
      <c r="AD446" s="2535"/>
      <c r="AE446" s="2535"/>
      <c r="AF446" s="738"/>
      <c r="AG446" s="738"/>
      <c r="AH446" s="738"/>
      <c r="AI446" s="738"/>
      <c r="AJ446" s="738"/>
      <c r="AK446" s="738"/>
      <c r="AL446" s="739"/>
      <c r="AM446" s="563"/>
      <c r="AO446" s="544"/>
      <c r="AP446" s="544"/>
      <c r="BD446" s="14"/>
      <c r="BE446" s="14"/>
      <c r="BF446" s="14"/>
      <c r="BG446" s="14"/>
      <c r="BH446" s="14"/>
    </row>
    <row r="447" spans="1:60">
      <c r="A447" s="532"/>
      <c r="C447" s="722"/>
      <c r="E447" s="682"/>
      <c r="F447" s="2408"/>
      <c r="G447" s="2408"/>
      <c r="H447" s="2408"/>
      <c r="I447" s="2408"/>
      <c r="J447" s="2408"/>
      <c r="K447" s="2408"/>
      <c r="L447" s="2408"/>
      <c r="M447" s="2408"/>
      <c r="N447" s="2408"/>
      <c r="O447" s="2408"/>
      <c r="P447" s="2408"/>
      <c r="Q447" s="2408"/>
      <c r="R447" s="2408"/>
      <c r="S447" s="2408"/>
      <c r="T447" s="2408"/>
      <c r="U447" s="2408"/>
      <c r="V447" s="2408"/>
      <c r="W447" s="2408"/>
      <c r="X447" s="2408"/>
      <c r="Y447" s="2408"/>
      <c r="Z447" s="2408"/>
      <c r="AA447" s="2408"/>
      <c r="AB447" s="2408"/>
      <c r="AC447" s="2408"/>
      <c r="AD447" s="2408"/>
      <c r="AE447" s="2408"/>
      <c r="AF447" s="587"/>
      <c r="AG447" s="587"/>
      <c r="AH447" s="587"/>
      <c r="AI447" s="587"/>
      <c r="AJ447" s="587"/>
      <c r="AK447" s="587"/>
      <c r="AL447" s="741"/>
      <c r="AM447" s="563"/>
      <c r="AO447" s="544"/>
      <c r="AP447" s="544"/>
    </row>
    <row r="448" spans="1:60" s="544" customFormat="1" ht="12.75" customHeight="1">
      <c r="A448" s="532"/>
      <c r="B448" s="14"/>
      <c r="C448" s="722"/>
      <c r="D448" s="14"/>
      <c r="E448" s="682"/>
      <c r="F448" s="2408"/>
      <c r="G448" s="2408"/>
      <c r="H448" s="2408"/>
      <c r="I448" s="2408"/>
      <c r="J448" s="2408"/>
      <c r="K448" s="2408"/>
      <c r="L448" s="2408"/>
      <c r="M448" s="2408"/>
      <c r="N448" s="2408"/>
      <c r="O448" s="2408"/>
      <c r="P448" s="2408"/>
      <c r="Q448" s="2408"/>
      <c r="R448" s="2408"/>
      <c r="S448" s="2408"/>
      <c r="T448" s="2408"/>
      <c r="U448" s="2408"/>
      <c r="V448" s="2408"/>
      <c r="W448" s="2408"/>
      <c r="X448" s="2408"/>
      <c r="Y448" s="2408"/>
      <c r="Z448" s="2408"/>
      <c r="AA448" s="2408"/>
      <c r="AB448" s="2408"/>
      <c r="AC448" s="2408"/>
      <c r="AD448" s="2408"/>
      <c r="AE448" s="2408"/>
      <c r="AF448" s="587"/>
      <c r="AG448" s="587"/>
      <c r="AH448" s="587"/>
      <c r="AI448" s="587"/>
      <c r="AJ448" s="587"/>
      <c r="AK448" s="587"/>
      <c r="AL448" s="741"/>
      <c r="AM448" s="563"/>
      <c r="AN448" s="590"/>
    </row>
    <row r="449" spans="1:42" s="544" customFormat="1" ht="12.75" customHeight="1">
      <c r="A449" s="532"/>
      <c r="B449" s="14"/>
      <c r="C449" s="742"/>
      <c r="D449" s="721"/>
      <c r="E449" s="710"/>
      <c r="F449" s="2408"/>
      <c r="G449" s="2408"/>
      <c r="H449" s="2408"/>
      <c r="I449" s="2408"/>
      <c r="J449" s="2408"/>
      <c r="K449" s="2408"/>
      <c r="L449" s="2408"/>
      <c r="M449" s="2408"/>
      <c r="N449" s="2408"/>
      <c r="O449" s="2408"/>
      <c r="P449" s="2408"/>
      <c r="Q449" s="2408"/>
      <c r="R449" s="2408"/>
      <c r="S449" s="2408"/>
      <c r="T449" s="2408"/>
      <c r="U449" s="2408"/>
      <c r="V449" s="2408"/>
      <c r="W449" s="2408"/>
      <c r="X449" s="2408"/>
      <c r="Y449" s="2408"/>
      <c r="Z449" s="2408"/>
      <c r="AA449" s="2408"/>
      <c r="AB449" s="2408"/>
      <c r="AC449" s="2408"/>
      <c r="AD449" s="2408"/>
      <c r="AE449" s="2408"/>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8"/>
      <c r="G450" s="2408"/>
      <c r="H450" s="2408"/>
      <c r="I450" s="2408"/>
      <c r="J450" s="2408"/>
      <c r="K450" s="2408"/>
      <c r="L450" s="2408"/>
      <c r="M450" s="2408"/>
      <c r="N450" s="2408"/>
      <c r="O450" s="2408"/>
      <c r="P450" s="2408"/>
      <c r="Q450" s="2408"/>
      <c r="R450" s="2408"/>
      <c r="S450" s="2408"/>
      <c r="T450" s="2408"/>
      <c r="U450" s="2408"/>
      <c r="V450" s="2408"/>
      <c r="W450" s="2408"/>
      <c r="X450" s="2408"/>
      <c r="Y450" s="2408"/>
      <c r="Z450" s="2408"/>
      <c r="AA450" s="2408"/>
      <c r="AB450" s="2408"/>
      <c r="AC450" s="2408"/>
      <c r="AD450" s="2408"/>
      <c r="AE450" s="2408"/>
      <c r="AF450" s="587"/>
      <c r="AG450" s="587"/>
      <c r="AH450" s="587"/>
      <c r="AI450" s="587"/>
      <c r="AJ450" s="587"/>
      <c r="AK450" s="587"/>
      <c r="AL450" s="741"/>
      <c r="AM450" s="563"/>
      <c r="AN450" s="590"/>
    </row>
    <row r="451" spans="1:42" s="544" customFormat="1" ht="12.75" customHeight="1">
      <c r="A451" s="532"/>
      <c r="B451" s="14"/>
      <c r="C451" s="742"/>
      <c r="D451" s="721"/>
      <c r="E451" s="710"/>
      <c r="F451" s="2408"/>
      <c r="G451" s="2408"/>
      <c r="H451" s="2408"/>
      <c r="I451" s="2408"/>
      <c r="J451" s="2408"/>
      <c r="K451" s="2408"/>
      <c r="L451" s="2408"/>
      <c r="M451" s="2408"/>
      <c r="N451" s="2408"/>
      <c r="O451" s="2408"/>
      <c r="P451" s="2408"/>
      <c r="Q451" s="2408"/>
      <c r="R451" s="2408"/>
      <c r="S451" s="2408"/>
      <c r="T451" s="2408"/>
      <c r="U451" s="2408"/>
      <c r="V451" s="2408"/>
      <c r="W451" s="2408"/>
      <c r="X451" s="2408"/>
      <c r="Y451" s="2408"/>
      <c r="Z451" s="2408"/>
      <c r="AA451" s="2408"/>
      <c r="AB451" s="2408"/>
      <c r="AC451" s="2408"/>
      <c r="AD451" s="2408"/>
      <c r="AE451" s="2408"/>
      <c r="AF451" s="587"/>
      <c r="AG451" s="587"/>
      <c r="AH451" s="587"/>
      <c r="AI451" s="587"/>
      <c r="AJ451" s="587"/>
      <c r="AK451" s="587"/>
      <c r="AL451" s="741"/>
      <c r="AM451" s="563"/>
      <c r="AN451" s="590"/>
    </row>
    <row r="452" spans="1:42" s="544" customFormat="1" ht="12.75" customHeight="1">
      <c r="A452" s="532"/>
      <c r="B452" s="14"/>
      <c r="C452" s="742"/>
      <c r="D452" s="721"/>
      <c r="E452" s="710"/>
      <c r="F452" s="2408"/>
      <c r="G452" s="2408"/>
      <c r="H452" s="2408"/>
      <c r="I452" s="2408"/>
      <c r="J452" s="2408"/>
      <c r="K452" s="2408"/>
      <c r="L452" s="2408"/>
      <c r="M452" s="2408"/>
      <c r="N452" s="2408"/>
      <c r="O452" s="2408"/>
      <c r="P452" s="2408"/>
      <c r="Q452" s="2408"/>
      <c r="R452" s="2408"/>
      <c r="S452" s="2408"/>
      <c r="T452" s="2408"/>
      <c r="U452" s="2408"/>
      <c r="V452" s="2408"/>
      <c r="W452" s="2408"/>
      <c r="X452" s="2408"/>
      <c r="Y452" s="2408"/>
      <c r="Z452" s="2408"/>
      <c r="AA452" s="2408"/>
      <c r="AB452" s="2408"/>
      <c r="AC452" s="2408"/>
      <c r="AD452" s="2408"/>
      <c r="AE452" s="2408"/>
      <c r="AF452" s="587"/>
      <c r="AG452" s="587"/>
      <c r="AH452" s="587"/>
      <c r="AI452" s="587"/>
      <c r="AJ452" s="587"/>
      <c r="AK452" s="587"/>
      <c r="AL452" s="741"/>
      <c r="AM452" s="563"/>
      <c r="AN452" s="590"/>
    </row>
    <row r="453" spans="1:42" s="544" customFormat="1" ht="12.75" customHeight="1">
      <c r="A453" s="532"/>
      <c r="B453" s="14"/>
      <c r="C453" s="742"/>
      <c r="D453" s="721"/>
      <c r="E453" s="710"/>
      <c r="F453" s="2408"/>
      <c r="G453" s="2408"/>
      <c r="H453" s="2408"/>
      <c r="I453" s="2408"/>
      <c r="J453" s="2408"/>
      <c r="K453" s="2408"/>
      <c r="L453" s="2408"/>
      <c r="M453" s="2408"/>
      <c r="N453" s="2408"/>
      <c r="O453" s="2408"/>
      <c r="P453" s="2408"/>
      <c r="Q453" s="2408"/>
      <c r="R453" s="2408"/>
      <c r="S453" s="2408"/>
      <c r="T453" s="2408"/>
      <c r="U453" s="2408"/>
      <c r="V453" s="2408"/>
      <c r="W453" s="2408"/>
      <c r="X453" s="2408"/>
      <c r="Y453" s="2408"/>
      <c r="Z453" s="2408"/>
      <c r="AA453" s="2408"/>
      <c r="AB453" s="2408"/>
      <c r="AC453" s="2408"/>
      <c r="AD453" s="2408"/>
      <c r="AE453" s="2408"/>
      <c r="AF453" s="587"/>
      <c r="AG453" s="587"/>
      <c r="AH453" s="587"/>
      <c r="AI453" s="587"/>
      <c r="AJ453" s="587"/>
      <c r="AK453" s="587"/>
      <c r="AL453" s="741"/>
      <c r="AM453" s="563"/>
      <c r="AN453" s="590"/>
    </row>
    <row r="454" spans="1:42" s="544" customFormat="1" ht="17.25" customHeight="1">
      <c r="A454" s="532"/>
      <c r="B454" s="14"/>
      <c r="C454" s="742"/>
      <c r="D454" s="721"/>
      <c r="E454" s="710"/>
      <c r="F454" s="2408"/>
      <c r="G454" s="2408"/>
      <c r="H454" s="2408"/>
      <c r="I454" s="2408"/>
      <c r="J454" s="2408"/>
      <c r="K454" s="2408"/>
      <c r="L454" s="2408"/>
      <c r="M454" s="2408"/>
      <c r="N454" s="2408"/>
      <c r="O454" s="2408"/>
      <c r="P454" s="2408"/>
      <c r="Q454" s="2408"/>
      <c r="R454" s="2408"/>
      <c r="S454" s="2408"/>
      <c r="T454" s="2408"/>
      <c r="U454" s="2408"/>
      <c r="V454" s="2408"/>
      <c r="W454" s="2408"/>
      <c r="X454" s="2408"/>
      <c r="Y454" s="2408"/>
      <c r="Z454" s="2408"/>
      <c r="AA454" s="2408"/>
      <c r="AB454" s="2408"/>
      <c r="AC454" s="2408"/>
      <c r="AD454" s="2408"/>
      <c r="AE454" s="2408"/>
      <c r="AL454" s="723"/>
      <c r="AM454" s="563"/>
      <c r="AN454" s="590"/>
    </row>
    <row r="455" spans="1:42" s="544" customFormat="1" ht="12.75" customHeight="1">
      <c r="A455" s="532"/>
      <c r="B455" s="14"/>
      <c r="C455" s="2532" t="s">
        <v>589</v>
      </c>
      <c r="D455" s="2492"/>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0" t="s">
        <v>1450</v>
      </c>
      <c r="AG455" s="2470"/>
      <c r="AH455" s="2470"/>
      <c r="AI455" s="2470"/>
      <c r="AJ455" s="2470"/>
      <c r="AK455" s="2470"/>
      <c r="AL455" s="2536"/>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535" t="s">
        <v>1476</v>
      </c>
      <c r="G458" s="2535"/>
      <c r="H458" s="2535"/>
      <c r="I458" s="2535"/>
      <c r="J458" s="2535"/>
      <c r="K458" s="2535"/>
      <c r="L458" s="2535"/>
      <c r="M458" s="2535"/>
      <c r="N458" s="2535"/>
      <c r="O458" s="2535"/>
      <c r="P458" s="2535"/>
      <c r="Q458" s="2535"/>
      <c r="R458" s="2535"/>
      <c r="S458" s="2535"/>
      <c r="T458" s="2535"/>
      <c r="U458" s="2535"/>
      <c r="V458" s="2535"/>
      <c r="W458" s="2535"/>
      <c r="X458" s="2535"/>
      <c r="Y458" s="2535"/>
      <c r="Z458" s="2535"/>
      <c r="AA458" s="2535"/>
      <c r="AB458" s="2535"/>
      <c r="AC458" s="2535"/>
      <c r="AD458" s="2535"/>
      <c r="AE458" s="2535"/>
      <c r="AF458" s="705"/>
      <c r="AG458" s="705"/>
      <c r="AH458" s="705"/>
      <c r="AI458" s="705"/>
      <c r="AJ458" s="705"/>
      <c r="AK458" s="705"/>
      <c r="AL458" s="736"/>
      <c r="AM458" s="563"/>
      <c r="AN458" s="590"/>
    </row>
    <row r="459" spans="1:42" s="544" customFormat="1" ht="12.75" customHeight="1">
      <c r="A459" s="532"/>
      <c r="B459" s="14"/>
      <c r="C459" s="742"/>
      <c r="D459" s="721"/>
      <c r="E459" s="710"/>
      <c r="F459" s="2408"/>
      <c r="G459" s="2408"/>
      <c r="H459" s="2408"/>
      <c r="I459" s="2408"/>
      <c r="J459" s="2408"/>
      <c r="K459" s="2408"/>
      <c r="L459" s="2408"/>
      <c r="M459" s="2408"/>
      <c r="N459" s="2408"/>
      <c r="O459" s="2408"/>
      <c r="P459" s="2408"/>
      <c r="Q459" s="2408"/>
      <c r="R459" s="2408"/>
      <c r="S459" s="2408"/>
      <c r="T459" s="2408"/>
      <c r="U459" s="2408"/>
      <c r="V459" s="2408"/>
      <c r="W459" s="2408"/>
      <c r="X459" s="2408"/>
      <c r="Y459" s="2408"/>
      <c r="Z459" s="2408"/>
      <c r="AA459" s="2408"/>
      <c r="AB459" s="2408"/>
      <c r="AC459" s="2408"/>
      <c r="AD459" s="2408"/>
      <c r="AE459" s="2408"/>
      <c r="AF459" s="584"/>
      <c r="AG459" s="584"/>
      <c r="AH459" s="584"/>
      <c r="AI459" s="584"/>
      <c r="AJ459" s="584"/>
      <c r="AK459" s="584"/>
      <c r="AL459" s="711"/>
      <c r="AM459" s="563"/>
      <c r="AN459" s="590"/>
    </row>
    <row r="460" spans="1:42" s="544" customFormat="1" ht="12.75" customHeight="1">
      <c r="A460" s="532"/>
      <c r="B460" s="14"/>
      <c r="C460" s="742"/>
      <c r="D460" s="721"/>
      <c r="E460" s="710"/>
      <c r="F460" s="2408"/>
      <c r="G460" s="2408"/>
      <c r="H460" s="2408"/>
      <c r="I460" s="2408"/>
      <c r="J460" s="2408"/>
      <c r="K460" s="2408"/>
      <c r="L460" s="2408"/>
      <c r="M460" s="2408"/>
      <c r="N460" s="2408"/>
      <c r="O460" s="2408"/>
      <c r="P460" s="2408"/>
      <c r="Q460" s="2408"/>
      <c r="R460" s="2408"/>
      <c r="S460" s="2408"/>
      <c r="T460" s="2408"/>
      <c r="U460" s="2408"/>
      <c r="V460" s="2408"/>
      <c r="W460" s="2408"/>
      <c r="X460" s="2408"/>
      <c r="Y460" s="2408"/>
      <c r="Z460" s="2408"/>
      <c r="AA460" s="2408"/>
      <c r="AB460" s="2408"/>
      <c r="AC460" s="2408"/>
      <c r="AD460" s="2408"/>
      <c r="AE460" s="2408"/>
      <c r="AF460" s="584"/>
      <c r="AG460" s="584"/>
      <c r="AH460" s="584"/>
      <c r="AI460" s="584"/>
      <c r="AJ460" s="584"/>
      <c r="AK460" s="584"/>
      <c r="AL460" s="711"/>
      <c r="AM460" s="563"/>
      <c r="AN460" s="590"/>
    </row>
    <row r="461" spans="1:42" s="544" customFormat="1" ht="12.75" customHeight="1">
      <c r="A461" s="532"/>
      <c r="B461" s="14"/>
      <c r="C461" s="742"/>
      <c r="D461" s="721"/>
      <c r="E461" s="710"/>
      <c r="F461" s="2408"/>
      <c r="G461" s="2408"/>
      <c r="H461" s="2408"/>
      <c r="I461" s="2408"/>
      <c r="J461" s="2408"/>
      <c r="K461" s="2408"/>
      <c r="L461" s="2408"/>
      <c r="M461" s="2408"/>
      <c r="N461" s="2408"/>
      <c r="O461" s="2408"/>
      <c r="P461" s="2408"/>
      <c r="Q461" s="2408"/>
      <c r="R461" s="2408"/>
      <c r="S461" s="2408"/>
      <c r="T461" s="2408"/>
      <c r="U461" s="2408"/>
      <c r="V461" s="2408"/>
      <c r="W461" s="2408"/>
      <c r="X461" s="2408"/>
      <c r="Y461" s="2408"/>
      <c r="Z461" s="2408"/>
      <c r="AA461" s="2408"/>
      <c r="AB461" s="2408"/>
      <c r="AC461" s="2408"/>
      <c r="AD461" s="2408"/>
      <c r="AE461" s="2408"/>
      <c r="AL461" s="723"/>
      <c r="AM461" s="563"/>
      <c r="AN461" s="590"/>
    </row>
    <row r="462" spans="1:42" s="544" customFormat="1" ht="12.75" customHeight="1">
      <c r="A462" s="532"/>
      <c r="B462" s="14"/>
      <c r="C462" s="2532" t="s">
        <v>589</v>
      </c>
      <c r="D462" s="2492"/>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0" t="s">
        <v>1450</v>
      </c>
      <c r="AG462" s="2470"/>
      <c r="AH462" s="2470"/>
      <c r="AI462" s="2470"/>
      <c r="AJ462" s="2470"/>
      <c r="AK462" s="2470"/>
      <c r="AL462" s="2536"/>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7" t="s">
        <v>589</v>
      </c>
      <c r="D466" s="2538"/>
      <c r="E466" s="706" t="s">
        <v>1485</v>
      </c>
      <c r="F466" s="2535" t="s">
        <v>1486</v>
      </c>
      <c r="G466" s="2535"/>
      <c r="H466" s="2535"/>
      <c r="I466" s="2535"/>
      <c r="J466" s="2535"/>
      <c r="K466" s="2535"/>
      <c r="L466" s="2535"/>
      <c r="M466" s="2535"/>
      <c r="N466" s="2535"/>
      <c r="O466" s="2535"/>
      <c r="P466" s="2535"/>
      <c r="Q466" s="2535"/>
      <c r="R466" s="2535"/>
      <c r="S466" s="2535"/>
      <c r="T466" s="2535"/>
      <c r="U466" s="2535"/>
      <c r="V466" s="2535"/>
      <c r="W466" s="2535"/>
      <c r="X466" s="2535"/>
      <c r="Y466" s="2535"/>
      <c r="Z466" s="2535"/>
      <c r="AA466" s="2535"/>
      <c r="AB466" s="2535"/>
      <c r="AC466" s="2535"/>
      <c r="AD466" s="2535"/>
      <c r="AE466" s="2535"/>
      <c r="AF466" s="2620" t="s">
        <v>1450</v>
      </c>
      <c r="AG466" s="2620"/>
      <c r="AH466" s="2620"/>
      <c r="AI466" s="2620"/>
      <c r="AJ466" s="2620"/>
      <c r="AK466" s="2620"/>
      <c r="AL466" s="2621"/>
      <c r="AM466" s="563"/>
      <c r="AN466" s="744"/>
    </row>
    <row r="467" spans="1:40" s="544" customFormat="1" ht="12.75" customHeight="1">
      <c r="A467" s="532"/>
      <c r="B467" s="14"/>
      <c r="C467" s="742"/>
      <c r="D467" s="721"/>
      <c r="E467" s="710"/>
      <c r="F467" s="2408"/>
      <c r="G467" s="2408"/>
      <c r="H467" s="2408"/>
      <c r="I467" s="2408"/>
      <c r="J467" s="2408"/>
      <c r="K467" s="2408"/>
      <c r="L467" s="2408"/>
      <c r="M467" s="2408"/>
      <c r="N467" s="2408"/>
      <c r="O467" s="2408"/>
      <c r="P467" s="2408"/>
      <c r="Q467" s="2408"/>
      <c r="R467" s="2408"/>
      <c r="S467" s="2408"/>
      <c r="T467" s="2408"/>
      <c r="U467" s="2408"/>
      <c r="V467" s="2408"/>
      <c r="W467" s="2408"/>
      <c r="X467" s="2408"/>
      <c r="Y467" s="2408"/>
      <c r="Z467" s="2408"/>
      <c r="AA467" s="2408"/>
      <c r="AB467" s="2408"/>
      <c r="AC467" s="2408"/>
      <c r="AD467" s="2408"/>
      <c r="AE467" s="2408"/>
      <c r="AF467" s="584"/>
      <c r="AG467" s="584"/>
      <c r="AH467" s="584"/>
      <c r="AI467" s="584"/>
      <c r="AJ467" s="584"/>
      <c r="AK467" s="584"/>
      <c r="AL467" s="711"/>
      <c r="AM467" s="563"/>
      <c r="AN467" s="745"/>
    </row>
    <row r="468" spans="1:40" s="544" customFormat="1" ht="17.7" customHeight="1">
      <c r="A468" s="532"/>
      <c r="B468" s="14"/>
      <c r="C468" s="747"/>
      <c r="D468" s="714"/>
      <c r="E468" s="715"/>
      <c r="F468" s="2564"/>
      <c r="G468" s="2564"/>
      <c r="H468" s="2564"/>
      <c r="I468" s="2564"/>
      <c r="J468" s="2564"/>
      <c r="K468" s="2564"/>
      <c r="L468" s="2564"/>
      <c r="M468" s="2564"/>
      <c r="N468" s="2564"/>
      <c r="O468" s="2564"/>
      <c r="P468" s="2564"/>
      <c r="Q468" s="2564"/>
      <c r="R468" s="2564"/>
      <c r="S468" s="2564"/>
      <c r="T468" s="2564"/>
      <c r="U468" s="2564"/>
      <c r="V468" s="2564"/>
      <c r="W468" s="2564"/>
      <c r="X468" s="2564"/>
      <c r="Y468" s="2564"/>
      <c r="Z468" s="2564"/>
      <c r="AA468" s="2564"/>
      <c r="AB468" s="2564"/>
      <c r="AC468" s="2564"/>
      <c r="AD468" s="2564"/>
      <c r="AE468" s="2564"/>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2" t="s">
        <v>589</v>
      </c>
      <c r="D470" s="2492"/>
      <c r="E470" s="706" t="s">
        <v>1491</v>
      </c>
      <c r="F470" s="2535" t="s">
        <v>1492</v>
      </c>
      <c r="G470" s="2535"/>
      <c r="H470" s="2535"/>
      <c r="I470" s="2535"/>
      <c r="J470" s="2535"/>
      <c r="K470" s="2535"/>
      <c r="L470" s="2535"/>
      <c r="M470" s="2535"/>
      <c r="N470" s="2535"/>
      <c r="O470" s="2535"/>
      <c r="P470" s="2535"/>
      <c r="Q470" s="2535"/>
      <c r="R470" s="2535"/>
      <c r="S470" s="2535"/>
      <c r="T470" s="2535"/>
      <c r="U470" s="2535"/>
      <c r="V470" s="2535"/>
      <c r="W470" s="2535"/>
      <c r="X470" s="2535"/>
      <c r="Y470" s="2535"/>
      <c r="Z470" s="2535"/>
      <c r="AA470" s="2535"/>
      <c r="AB470" s="2535"/>
      <c r="AC470" s="2535"/>
      <c r="AD470" s="2535"/>
      <c r="AE470" s="2535"/>
      <c r="AF470" s="2620" t="s">
        <v>1450</v>
      </c>
      <c r="AG470" s="2620"/>
      <c r="AH470" s="2620"/>
      <c r="AI470" s="2620"/>
      <c r="AJ470" s="2620"/>
      <c r="AK470" s="2620"/>
      <c r="AL470" s="2621"/>
      <c r="AM470" s="563"/>
      <c r="AN470" s="531"/>
    </row>
    <row r="471" spans="1:40" s="544" customFormat="1" ht="12.75" customHeight="1">
      <c r="A471" s="532"/>
      <c r="B471" s="14"/>
      <c r="C471" s="722"/>
      <c r="D471" s="14"/>
      <c r="E471" s="682"/>
      <c r="F471" s="2408"/>
      <c r="G471" s="2408"/>
      <c r="H471" s="2408"/>
      <c r="I471" s="2408"/>
      <c r="J471" s="2408"/>
      <c r="K471" s="2408"/>
      <c r="L471" s="2408"/>
      <c r="M471" s="2408"/>
      <c r="N471" s="2408"/>
      <c r="O471" s="2408"/>
      <c r="P471" s="2408"/>
      <c r="Q471" s="2408"/>
      <c r="R471" s="2408"/>
      <c r="S471" s="2408"/>
      <c r="T471" s="2408"/>
      <c r="U471" s="2408"/>
      <c r="V471" s="2408"/>
      <c r="W471" s="2408"/>
      <c r="X471" s="2408"/>
      <c r="Y471" s="2408"/>
      <c r="Z471" s="2408"/>
      <c r="AA471" s="2408"/>
      <c r="AB471" s="2408"/>
      <c r="AC471" s="2408"/>
      <c r="AD471" s="2408"/>
      <c r="AE471" s="2408"/>
      <c r="AF471" s="535"/>
      <c r="AG471" s="532"/>
      <c r="AL471" s="723"/>
      <c r="AM471" s="563"/>
      <c r="AN471" s="531"/>
    </row>
    <row r="472" spans="1:40" s="544" customFormat="1" ht="12.75" customHeight="1">
      <c r="A472" s="532"/>
      <c r="B472" s="14"/>
      <c r="C472" s="722"/>
      <c r="D472" s="14"/>
      <c r="E472" s="682"/>
      <c r="F472" s="2408"/>
      <c r="G472" s="2408"/>
      <c r="H472" s="2408"/>
      <c r="I472" s="2408"/>
      <c r="J472" s="2408"/>
      <c r="K472" s="2408"/>
      <c r="L472" s="2408"/>
      <c r="M472" s="2408"/>
      <c r="N472" s="2408"/>
      <c r="O472" s="2408"/>
      <c r="P472" s="2408"/>
      <c r="Q472" s="2408"/>
      <c r="R472" s="2408"/>
      <c r="S472" s="2408"/>
      <c r="T472" s="2408"/>
      <c r="U472" s="2408"/>
      <c r="V472" s="2408"/>
      <c r="W472" s="2408"/>
      <c r="X472" s="2408"/>
      <c r="Y472" s="2408"/>
      <c r="Z472" s="2408"/>
      <c r="AA472" s="2408"/>
      <c r="AB472" s="2408"/>
      <c r="AC472" s="2408"/>
      <c r="AD472" s="2408"/>
      <c r="AE472" s="2408"/>
      <c r="AF472" s="535"/>
      <c r="AG472" s="532"/>
      <c r="AL472" s="723"/>
      <c r="AM472" s="563"/>
      <c r="AN472" s="531"/>
    </row>
    <row r="473" spans="1:40" s="544" customFormat="1" ht="12.75" customHeight="1">
      <c r="A473" s="532"/>
      <c r="B473" s="14"/>
      <c r="C473" s="747"/>
      <c r="D473" s="714"/>
      <c r="E473" s="715"/>
      <c r="F473" s="2564"/>
      <c r="G473" s="2564"/>
      <c r="H473" s="2564"/>
      <c r="I473" s="2564"/>
      <c r="J473" s="2564"/>
      <c r="K473" s="2564"/>
      <c r="L473" s="2564"/>
      <c r="M473" s="2564"/>
      <c r="N473" s="2564"/>
      <c r="O473" s="2564"/>
      <c r="P473" s="2564"/>
      <c r="Q473" s="2564"/>
      <c r="R473" s="2564"/>
      <c r="S473" s="2564"/>
      <c r="T473" s="2564"/>
      <c r="U473" s="2564"/>
      <c r="V473" s="2564"/>
      <c r="W473" s="2564"/>
      <c r="X473" s="2564"/>
      <c r="Y473" s="2564"/>
      <c r="Z473" s="2564"/>
      <c r="AA473" s="2564"/>
      <c r="AB473" s="2564"/>
      <c r="AC473" s="2564"/>
      <c r="AD473" s="2564"/>
      <c r="AE473" s="2564"/>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535" t="s">
        <v>1495</v>
      </c>
      <c r="G475" s="2535"/>
      <c r="H475" s="2535"/>
      <c r="I475" s="2535"/>
      <c r="J475" s="2535"/>
      <c r="K475" s="2535"/>
      <c r="L475" s="2535"/>
      <c r="M475" s="2535"/>
      <c r="N475" s="2535"/>
      <c r="O475" s="2535"/>
      <c r="P475" s="2535"/>
      <c r="Q475" s="2535"/>
      <c r="R475" s="2535"/>
      <c r="S475" s="2535"/>
      <c r="T475" s="2535"/>
      <c r="U475" s="2535"/>
      <c r="V475" s="2535"/>
      <c r="W475" s="2535"/>
      <c r="X475" s="2535"/>
      <c r="Y475" s="2535"/>
      <c r="Z475" s="2535"/>
      <c r="AA475" s="2535"/>
      <c r="AB475" s="2535"/>
      <c r="AC475" s="2535"/>
      <c r="AD475" s="2535"/>
      <c r="AE475" s="2535"/>
      <c r="AF475" s="2535"/>
      <c r="AG475" s="735"/>
      <c r="AH475" s="705"/>
      <c r="AI475" s="705"/>
      <c r="AJ475" s="705"/>
      <c r="AK475" s="705"/>
      <c r="AL475" s="736"/>
      <c r="AM475" s="563"/>
      <c r="AN475" s="590"/>
    </row>
    <row r="476" spans="1:40" s="544" customFormat="1" ht="12.75" customHeight="1">
      <c r="A476" s="532"/>
      <c r="B476" s="14"/>
      <c r="C476" s="722"/>
      <c r="D476" s="14"/>
      <c r="E476" s="682"/>
      <c r="F476" s="2408"/>
      <c r="G476" s="2408"/>
      <c r="H476" s="2408"/>
      <c r="I476" s="2408"/>
      <c r="J476" s="2408"/>
      <c r="K476" s="2408"/>
      <c r="L476" s="2408"/>
      <c r="M476" s="2408"/>
      <c r="N476" s="2408"/>
      <c r="O476" s="2408"/>
      <c r="P476" s="2408"/>
      <c r="Q476" s="2408"/>
      <c r="R476" s="2408"/>
      <c r="S476" s="2408"/>
      <c r="T476" s="2408"/>
      <c r="U476" s="2408"/>
      <c r="V476" s="2408"/>
      <c r="W476" s="2408"/>
      <c r="X476" s="2408"/>
      <c r="Y476" s="2408"/>
      <c r="Z476" s="2408"/>
      <c r="AA476" s="2408"/>
      <c r="AB476" s="2408"/>
      <c r="AC476" s="2408"/>
      <c r="AD476" s="2408"/>
      <c r="AE476" s="2408"/>
      <c r="AF476" s="2408"/>
      <c r="AL476" s="723"/>
      <c r="AM476" s="563"/>
      <c r="AN476" s="590"/>
    </row>
    <row r="477" spans="1:40" s="544" customFormat="1" ht="12.75" customHeight="1">
      <c r="A477" s="532"/>
      <c r="B477" s="14"/>
      <c r="C477" s="730"/>
      <c r="F477" s="2408"/>
      <c r="G477" s="2408"/>
      <c r="H477" s="2408"/>
      <c r="I477" s="2408"/>
      <c r="J477" s="2408"/>
      <c r="K477" s="2408"/>
      <c r="L477" s="2408"/>
      <c r="M477" s="2408"/>
      <c r="N477" s="2408"/>
      <c r="O477" s="2408"/>
      <c r="P477" s="2408"/>
      <c r="Q477" s="2408"/>
      <c r="R477" s="2408"/>
      <c r="S477" s="2408"/>
      <c r="T477" s="2408"/>
      <c r="U477" s="2408"/>
      <c r="V477" s="2408"/>
      <c r="W477" s="2408"/>
      <c r="X477" s="2408"/>
      <c r="Y477" s="2408"/>
      <c r="Z477" s="2408"/>
      <c r="AA477" s="2408"/>
      <c r="AB477" s="2408"/>
      <c r="AC477" s="2408"/>
      <c r="AD477" s="2408"/>
      <c r="AE477" s="2408"/>
      <c r="AF477" s="2408"/>
      <c r="AL477" s="723"/>
      <c r="AM477" s="563"/>
      <c r="AN477" s="590"/>
    </row>
    <row r="478" spans="1:40" s="544" customFormat="1" ht="12.75" customHeight="1">
      <c r="A478" s="532"/>
      <c r="B478" s="14"/>
      <c r="C478" s="730"/>
      <c r="F478" s="2408"/>
      <c r="G478" s="2408"/>
      <c r="H478" s="2408"/>
      <c r="I478" s="2408"/>
      <c r="J478" s="2408"/>
      <c r="K478" s="2408"/>
      <c r="L478" s="2408"/>
      <c r="M478" s="2408"/>
      <c r="N478" s="2408"/>
      <c r="O478" s="2408"/>
      <c r="P478" s="2408"/>
      <c r="Q478" s="2408"/>
      <c r="R478" s="2408"/>
      <c r="S478" s="2408"/>
      <c r="T478" s="2408"/>
      <c r="U478" s="2408"/>
      <c r="V478" s="2408"/>
      <c r="W478" s="2408"/>
      <c r="X478" s="2408"/>
      <c r="Y478" s="2408"/>
      <c r="Z478" s="2408"/>
      <c r="AA478" s="2408"/>
      <c r="AB478" s="2408"/>
      <c r="AC478" s="2408"/>
      <c r="AD478" s="2408"/>
      <c r="AE478" s="2408"/>
      <c r="AF478" s="2408"/>
      <c r="AL478" s="723"/>
      <c r="AM478" s="563"/>
      <c r="AN478" s="590"/>
    </row>
    <row r="479" spans="1:40" s="544" customFormat="1" ht="12.75" customHeight="1">
      <c r="A479" s="532"/>
      <c r="B479" s="14"/>
      <c r="C479" s="2532" t="s">
        <v>589</v>
      </c>
      <c r="D479" s="2492"/>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3" t="s">
        <v>1450</v>
      </c>
      <c r="AG479" s="2533"/>
      <c r="AH479" s="2533"/>
      <c r="AI479" s="2533"/>
      <c r="AJ479" s="2533"/>
      <c r="AK479" s="2533"/>
      <c r="AL479" s="2534"/>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495">
        <f>IF(Application!D214="N/A",AS371,AS373)</f>
        <v>10</v>
      </c>
      <c r="AL482" s="2496"/>
      <c r="AM482" s="2497"/>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589</v>
      </c>
      <c r="AP484" s="544">
        <v>0</v>
      </c>
      <c r="AT484" s="544" t="s">
        <v>589</v>
      </c>
      <c r="AU484" s="544">
        <v>0</v>
      </c>
      <c r="AV484" s="743"/>
    </row>
    <row r="485" spans="1:59" s="544" customFormat="1" ht="12.75" hidden="1" customHeight="1">
      <c r="A485" s="535" t="s">
        <v>1498</v>
      </c>
      <c r="C485" s="535"/>
      <c r="E485" s="589"/>
      <c r="AE485" s="2533" t="s">
        <v>1499</v>
      </c>
      <c r="AF485" s="2533"/>
      <c r="AG485" s="2533"/>
      <c r="AH485" s="2533"/>
      <c r="AI485" s="2533"/>
      <c r="AJ485" s="2533"/>
      <c r="AK485" s="2533"/>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539" t="s">
        <v>589</v>
      </c>
      <c r="D491" s="2540"/>
      <c r="E491" s="752" t="s">
        <v>505</v>
      </c>
      <c r="F491" s="2541" t="s">
        <v>1505</v>
      </c>
      <c r="G491" s="2541"/>
      <c r="H491" s="2541"/>
      <c r="I491" s="2541"/>
      <c r="J491" s="2541"/>
      <c r="K491" s="2541"/>
      <c r="L491" s="2541"/>
      <c r="M491" s="2541"/>
      <c r="N491" s="2541"/>
      <c r="O491" s="2541"/>
      <c r="P491" s="2541"/>
      <c r="Q491" s="2541"/>
      <c r="R491" s="2541"/>
      <c r="S491" s="2541"/>
      <c r="T491" s="2541"/>
      <c r="U491" s="2541"/>
      <c r="V491" s="2541"/>
      <c r="W491" s="2541"/>
      <c r="X491" s="2541"/>
      <c r="Y491" s="2541"/>
      <c r="Z491" s="2541"/>
      <c r="AA491" s="2541"/>
      <c r="AB491" s="2541"/>
      <c r="AC491" s="2541"/>
      <c r="AD491" s="2541"/>
      <c r="AE491" s="2541"/>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542"/>
      <c r="G492" s="2542"/>
      <c r="H492" s="2542"/>
      <c r="I492" s="2542"/>
      <c r="J492" s="2542"/>
      <c r="K492" s="2542"/>
      <c r="L492" s="2542"/>
      <c r="M492" s="2542"/>
      <c r="N492" s="2542"/>
      <c r="O492" s="2542"/>
      <c r="P492" s="2542"/>
      <c r="Q492" s="2542"/>
      <c r="R492" s="2542"/>
      <c r="S492" s="2542"/>
      <c r="T492" s="2542"/>
      <c r="U492" s="2542"/>
      <c r="V492" s="2542"/>
      <c r="W492" s="2542"/>
      <c r="X492" s="2542"/>
      <c r="Y492" s="2542"/>
      <c r="Z492" s="2542"/>
      <c r="AA492" s="2542"/>
      <c r="AB492" s="2542"/>
      <c r="AC492" s="2542"/>
      <c r="AD492" s="2542"/>
      <c r="AE492" s="2542"/>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637" t="s">
        <v>589</v>
      </c>
      <c r="G493" s="2637"/>
      <c r="H493" s="2637"/>
      <c r="I493" s="2637"/>
      <c r="J493" s="2637"/>
      <c r="K493" s="2637"/>
      <c r="L493" s="2637"/>
      <c r="M493" s="2637"/>
      <c r="N493" s="2637"/>
      <c r="O493" s="2637"/>
      <c r="P493" s="2637"/>
      <c r="Q493" s="2637"/>
      <c r="R493" s="2637"/>
      <c r="S493" s="2637"/>
      <c r="T493" s="2637"/>
      <c r="U493" s="2637"/>
      <c r="V493" s="2637"/>
      <c r="W493" s="2637"/>
      <c r="X493" s="2637"/>
      <c r="Y493" s="2637"/>
      <c r="Z493" s="2637"/>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589</v>
      </c>
      <c r="AP494" s="630">
        <v>0</v>
      </c>
      <c r="AT494" s="544" t="s">
        <v>589</v>
      </c>
      <c r="AU494" s="630">
        <v>0</v>
      </c>
      <c r="AW494" s="544" t="s">
        <v>589</v>
      </c>
      <c r="AX494" s="630">
        <v>0</v>
      </c>
      <c r="AY494" s="586"/>
      <c r="BB494" s="544" t="s">
        <v>589</v>
      </c>
      <c r="BC494" s="586">
        <v>0</v>
      </c>
      <c r="BF494" s="544" t="s">
        <v>589</v>
      </c>
      <c r="BG494" s="586">
        <v>0</v>
      </c>
    </row>
    <row r="495" spans="1:59" s="544" customFormat="1" ht="12.75" hidden="1" customHeight="1">
      <c r="C495" s="2658" t="s">
        <v>543</v>
      </c>
      <c r="D495" s="2659"/>
      <c r="E495" s="752" t="s">
        <v>755</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626" t="s">
        <v>589</v>
      </c>
      <c r="W498" s="2626"/>
      <c r="X498" s="2626"/>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589</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626" t="s">
        <v>589</v>
      </c>
      <c r="W500" s="2626"/>
      <c r="X500" s="2626"/>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589</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626" t="s">
        <v>589</v>
      </c>
      <c r="W505" s="2626"/>
      <c r="X505" s="2626"/>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589</v>
      </c>
      <c r="AP507" s="544">
        <v>0</v>
      </c>
      <c r="AQ507" s="535"/>
    </row>
    <row r="508" spans="1:81" s="589" customFormat="1" ht="12.75" hidden="1" customHeight="1">
      <c r="A508" s="544"/>
      <c r="B508" s="544"/>
      <c r="C508" s="772"/>
      <c r="D508" s="2612"/>
      <c r="E508" s="2612"/>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626" t="s">
        <v>589</v>
      </c>
      <c r="W509" s="2626"/>
      <c r="X509" s="2626"/>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626" t="s">
        <v>589</v>
      </c>
      <c r="W511" s="2626"/>
      <c r="X511" s="2626"/>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39" t="s">
        <v>589</v>
      </c>
      <c r="D514" s="2540"/>
      <c r="E514" s="752" t="s">
        <v>505</v>
      </c>
      <c r="F514" s="2541" t="s">
        <v>1505</v>
      </c>
      <c r="G514" s="2541"/>
      <c r="H514" s="2541"/>
      <c r="I514" s="2541"/>
      <c r="J514" s="2541"/>
      <c r="K514" s="2541"/>
      <c r="L514" s="2541"/>
      <c r="M514" s="2541"/>
      <c r="N514" s="2541"/>
      <c r="O514" s="2541"/>
      <c r="P514" s="2541"/>
      <c r="Q514" s="2541"/>
      <c r="R514" s="2541"/>
      <c r="S514" s="2541"/>
      <c r="T514" s="2541"/>
      <c r="U514" s="2541"/>
      <c r="V514" s="2541"/>
      <c r="W514" s="2541"/>
      <c r="X514" s="2541"/>
      <c r="Y514" s="2541"/>
      <c r="Z514" s="2541"/>
      <c r="AA514" s="2541"/>
      <c r="AB514" s="2541"/>
      <c r="AC514" s="2541"/>
      <c r="AD514" s="2541"/>
      <c r="AE514" s="2541"/>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2"/>
      <c r="G515" s="2542"/>
      <c r="H515" s="2542"/>
      <c r="I515" s="2542"/>
      <c r="J515" s="2542"/>
      <c r="K515" s="2542"/>
      <c r="L515" s="2542"/>
      <c r="M515" s="2542"/>
      <c r="N515" s="2542"/>
      <c r="O515" s="2542"/>
      <c r="P515" s="2542"/>
      <c r="Q515" s="2542"/>
      <c r="R515" s="2542"/>
      <c r="S515" s="2542"/>
      <c r="T515" s="2542"/>
      <c r="U515" s="2542"/>
      <c r="V515" s="2542"/>
      <c r="W515" s="2542"/>
      <c r="X515" s="2542"/>
      <c r="Y515" s="2542"/>
      <c r="Z515" s="2542"/>
      <c r="AA515" s="2542"/>
      <c r="AB515" s="2542"/>
      <c r="AC515" s="2542"/>
      <c r="AD515" s="2542"/>
      <c r="AE515" s="2542"/>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3" t="s">
        <v>589</v>
      </c>
      <c r="G516" s="2633"/>
      <c r="H516" s="2633"/>
      <c r="I516" s="2633"/>
      <c r="J516" s="2633"/>
      <c r="K516" s="2633"/>
      <c r="L516" s="2633"/>
      <c r="M516" s="2633"/>
      <c r="N516" s="2633"/>
      <c r="O516" s="2633"/>
      <c r="P516" s="2633"/>
      <c r="Q516" s="2633"/>
      <c r="R516" s="2633"/>
      <c r="S516" s="2633"/>
      <c r="T516" s="2633"/>
      <c r="U516" s="2633"/>
      <c r="V516" s="2633"/>
      <c r="W516" s="2633"/>
      <c r="X516" s="2633"/>
      <c r="Y516" s="2633"/>
      <c r="Z516" s="2633"/>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39" t="s">
        <v>589</v>
      </c>
      <c r="D518" s="2540"/>
      <c r="E518" s="752" t="s">
        <v>755</v>
      </c>
      <c r="F518" s="2634" t="s">
        <v>1527</v>
      </c>
      <c r="G518" s="2634"/>
      <c r="H518" s="2634"/>
      <c r="I518" s="2634"/>
      <c r="J518" s="2634"/>
      <c r="K518" s="2634"/>
      <c r="L518" s="2634"/>
      <c r="M518" s="2634"/>
      <c r="N518" s="2634"/>
      <c r="O518" s="2634"/>
      <c r="P518" s="2634"/>
      <c r="Q518" s="2634"/>
      <c r="R518" s="2634"/>
      <c r="S518" s="2634"/>
      <c r="T518" s="2634"/>
      <c r="U518" s="2634"/>
      <c r="V518" s="2634"/>
      <c r="W518" s="2634"/>
      <c r="X518" s="2634"/>
      <c r="Y518" s="2634"/>
      <c r="Z518" s="2634"/>
      <c r="AA518" s="2634"/>
      <c r="AB518" s="2634"/>
      <c r="AC518" s="2634"/>
      <c r="AD518" s="2634"/>
      <c r="AE518" s="2634"/>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5"/>
      <c r="G519" s="2635"/>
      <c r="H519" s="2635"/>
      <c r="I519" s="2635"/>
      <c r="J519" s="2635"/>
      <c r="K519" s="2635"/>
      <c r="L519" s="2635"/>
      <c r="M519" s="2635"/>
      <c r="N519" s="2635"/>
      <c r="O519" s="2635"/>
      <c r="P519" s="2635"/>
      <c r="Q519" s="2635"/>
      <c r="R519" s="2635"/>
      <c r="S519" s="2635"/>
      <c r="T519" s="2635"/>
      <c r="U519" s="2635"/>
      <c r="V519" s="2635"/>
      <c r="W519" s="2635"/>
      <c r="X519" s="2635"/>
      <c r="Y519" s="2635"/>
      <c r="Z519" s="2635"/>
      <c r="AA519" s="2635"/>
      <c r="AB519" s="2635"/>
      <c r="AC519" s="2635"/>
      <c r="AD519" s="2635"/>
      <c r="AE519" s="2635"/>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6" t="s">
        <v>589</v>
      </c>
      <c r="G521" s="2636"/>
      <c r="H521" s="2636"/>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39" t="s">
        <v>589</v>
      </c>
      <c r="D523" s="2540"/>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1"/>
      <c r="D525" s="2612"/>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3" t="s">
        <v>589</v>
      </c>
      <c r="H526" s="2613"/>
      <c r="I526" s="2613"/>
      <c r="J526" s="2613"/>
      <c r="K526" s="2613"/>
      <c r="L526" s="2613"/>
      <c r="M526" s="2613"/>
      <c r="N526" s="2613"/>
      <c r="O526" s="2613"/>
      <c r="P526" s="2613"/>
      <c r="Q526" s="2613"/>
      <c r="R526" s="2613"/>
      <c r="S526" s="2613"/>
      <c r="T526" s="2613"/>
      <c r="U526" s="2613"/>
      <c r="V526" s="2613"/>
      <c r="W526" s="2613"/>
      <c r="X526" s="2613"/>
      <c r="Y526" s="2613"/>
      <c r="Z526" s="2613"/>
      <c r="AA526" s="2613"/>
      <c r="AB526" s="2613"/>
      <c r="AC526" s="2613"/>
      <c r="AD526" s="2613"/>
      <c r="AE526" s="2613"/>
      <c r="AF526" s="2613"/>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4" t="s">
        <v>589</v>
      </c>
      <c r="D528" s="2615"/>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4" t="s">
        <v>589</v>
      </c>
      <c r="D532" s="2615"/>
      <c r="F532" s="786" t="s">
        <v>1535</v>
      </c>
      <c r="G532" s="2408" t="s">
        <v>1536</v>
      </c>
      <c r="H532" s="2408"/>
      <c r="I532" s="2408"/>
      <c r="J532" s="2408"/>
      <c r="K532" s="2408"/>
      <c r="L532" s="2408"/>
      <c r="M532" s="2408"/>
      <c r="N532" s="2408"/>
      <c r="O532" s="2408"/>
      <c r="P532" s="2408"/>
      <c r="Q532" s="2408"/>
      <c r="R532" s="2408"/>
      <c r="S532" s="2408"/>
      <c r="T532" s="2408"/>
      <c r="U532" s="2408"/>
      <c r="V532" s="2408"/>
      <c r="W532" s="2408"/>
      <c r="X532" s="2408"/>
      <c r="Y532" s="2408"/>
      <c r="Z532" s="2408"/>
      <c r="AA532" s="2408"/>
      <c r="AB532" s="2408"/>
      <c r="AC532" s="2408"/>
      <c r="AD532" s="2408"/>
      <c r="AE532" s="2408"/>
      <c r="AF532" s="2408"/>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4"/>
      <c r="H533" s="2564"/>
      <c r="I533" s="2564"/>
      <c r="J533" s="2564"/>
      <c r="K533" s="2564"/>
      <c r="L533" s="2564"/>
      <c r="M533" s="2564"/>
      <c r="N533" s="2564"/>
      <c r="O533" s="2564"/>
      <c r="P533" s="2564"/>
      <c r="Q533" s="2564"/>
      <c r="R533" s="2564"/>
      <c r="S533" s="2564"/>
      <c r="T533" s="2564"/>
      <c r="U533" s="2564"/>
      <c r="V533" s="2564"/>
      <c r="W533" s="2564"/>
      <c r="X533" s="2564"/>
      <c r="Y533" s="2564"/>
      <c r="Z533" s="2564"/>
      <c r="AA533" s="2564"/>
      <c r="AB533" s="2564"/>
      <c r="AC533" s="2564"/>
      <c r="AD533" s="2564"/>
      <c r="AE533" s="2564"/>
      <c r="AF533" s="2564"/>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6" t="s">
        <v>589</v>
      </c>
      <c r="D536" s="2617"/>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8" t="s">
        <v>589</v>
      </c>
      <c r="G537" s="2618"/>
      <c r="H537" s="2618"/>
      <c r="I537" s="2618"/>
      <c r="J537" s="2618"/>
      <c r="K537" s="2618"/>
      <c r="L537" s="2618"/>
      <c r="M537" s="2618"/>
      <c r="N537" s="2618"/>
      <c r="O537" s="2618"/>
      <c r="P537" s="2618"/>
      <c r="Q537" s="2618"/>
      <c r="R537" s="2618"/>
      <c r="S537" s="2618"/>
      <c r="T537" s="2618"/>
      <c r="U537" s="2618"/>
      <c r="V537" s="2618"/>
      <c r="W537" s="2618"/>
      <c r="X537" s="2618"/>
      <c r="Y537" s="2618"/>
      <c r="Z537" s="2618"/>
      <c r="AA537" s="2618"/>
      <c r="AB537" s="2618"/>
      <c r="AC537" s="2618"/>
      <c r="AD537" s="2618"/>
      <c r="AE537" s="2618"/>
      <c r="AF537" s="2618"/>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19"/>
      <c r="G538" s="2619"/>
      <c r="H538" s="2619"/>
      <c r="I538" s="2619"/>
      <c r="J538" s="2619"/>
      <c r="K538" s="2619"/>
      <c r="L538" s="2619"/>
      <c r="M538" s="2619"/>
      <c r="N538" s="2619"/>
      <c r="O538" s="2619"/>
      <c r="P538" s="2619"/>
      <c r="Q538" s="2619"/>
      <c r="R538" s="2619"/>
      <c r="S538" s="2619"/>
      <c r="T538" s="2619"/>
      <c r="U538" s="2619"/>
      <c r="V538" s="2619"/>
      <c r="W538" s="2619"/>
      <c r="X538" s="2619"/>
      <c r="Y538" s="2619"/>
      <c r="Z538" s="2619"/>
      <c r="AA538" s="2619"/>
      <c r="AB538" s="2619"/>
      <c r="AC538" s="2619"/>
      <c r="AD538" s="2619"/>
      <c r="AE538" s="2619"/>
      <c r="AF538" s="2619"/>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495">
        <f>SUM(AG492:AG537)</f>
        <v>0</v>
      </c>
      <c r="AL548" s="2496"/>
      <c r="AM548" s="2497"/>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8"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7" t="s">
        <v>1548</v>
      </c>
      <c r="AF551" s="2437"/>
      <c r="AG551" s="2437"/>
      <c r="AH551" s="2437"/>
      <c r="AI551" s="2437"/>
      <c r="AJ551" s="2437"/>
      <c r="AK551" s="2437"/>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2" t="s">
        <v>543</v>
      </c>
      <c r="D554" s="2492"/>
      <c r="E554" s="545"/>
      <c r="F554" s="2543" t="s">
        <v>1549</v>
      </c>
      <c r="G554" s="2544"/>
      <c r="H554" s="2544"/>
      <c r="I554" s="2544"/>
      <c r="J554" s="2544"/>
      <c r="K554" s="2544"/>
      <c r="L554" s="2544"/>
      <c r="M554" s="2544"/>
      <c r="N554" s="2544"/>
      <c r="O554" s="2544"/>
      <c r="P554" s="2544"/>
      <c r="Q554" s="2544"/>
      <c r="R554" s="2544"/>
      <c r="S554" s="2544"/>
      <c r="T554" s="2544"/>
      <c r="U554" s="2544"/>
      <c r="V554" s="2544"/>
      <c r="W554" s="2544"/>
      <c r="X554" s="2544"/>
      <c r="Y554" s="2544"/>
      <c r="Z554" s="2544"/>
      <c r="AA554" s="2544"/>
      <c r="AB554" s="2544"/>
      <c r="AC554" s="2544"/>
      <c r="AD554" s="2544"/>
      <c r="AE554" s="2544"/>
      <c r="AF554" s="2544"/>
      <c r="AG554" s="2544"/>
      <c r="AH554" s="2544"/>
      <c r="AI554" s="2544"/>
      <c r="AJ554" s="2544"/>
      <c r="AK554" s="2544"/>
      <c r="AL554" s="2545"/>
      <c r="AM554" s="588"/>
      <c r="AN554" s="590"/>
    </row>
    <row r="555" spans="1:81" s="544" customFormat="1" ht="12.75" customHeight="1">
      <c r="B555" s="535"/>
      <c r="C555" s="545"/>
      <c r="D555" s="545"/>
      <c r="E555" s="545"/>
      <c r="F555" s="2546"/>
      <c r="G555" s="2547"/>
      <c r="H555" s="2547"/>
      <c r="I555" s="2547"/>
      <c r="J555" s="2547"/>
      <c r="K555" s="2547"/>
      <c r="L555" s="2547"/>
      <c r="M555" s="2547"/>
      <c r="N555" s="2547"/>
      <c r="O555" s="2547"/>
      <c r="P555" s="2547"/>
      <c r="Q555" s="2547"/>
      <c r="R555" s="2547"/>
      <c r="S555" s="2547"/>
      <c r="T555" s="2547"/>
      <c r="U555" s="2547"/>
      <c r="V555" s="2547"/>
      <c r="W555" s="2547"/>
      <c r="X555" s="2547"/>
      <c r="Y555" s="2547"/>
      <c r="Z555" s="2547"/>
      <c r="AA555" s="2547"/>
      <c r="AB555" s="2547"/>
      <c r="AC555" s="2547"/>
      <c r="AD555" s="2547"/>
      <c r="AE555" s="2547"/>
      <c r="AF555" s="2547"/>
      <c r="AG555" s="2547"/>
      <c r="AH555" s="2547"/>
      <c r="AI555" s="2547"/>
      <c r="AJ555" s="2547"/>
      <c r="AK555" s="2547"/>
      <c r="AL555" s="2548"/>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2" t="s">
        <v>589</v>
      </c>
      <c r="D557" s="2492"/>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6" t="s">
        <v>2616</v>
      </c>
      <c r="G558" s="2487"/>
      <c r="H558" s="2487"/>
      <c r="I558" s="2487"/>
      <c r="J558" s="2487"/>
      <c r="K558" s="2487"/>
      <c r="L558" s="2487"/>
      <c r="M558" s="2487"/>
      <c r="N558" s="2487"/>
      <c r="O558" s="2487"/>
      <c r="P558" s="2487"/>
      <c r="Q558" s="2487"/>
      <c r="R558" s="2487"/>
      <c r="S558" s="2487"/>
      <c r="T558" s="2487"/>
      <c r="U558" s="2487"/>
      <c r="V558" s="2487"/>
      <c r="W558" s="2487"/>
      <c r="X558" s="2487"/>
      <c r="Y558" s="2487"/>
      <c r="Z558" s="2487"/>
      <c r="AA558" s="2487"/>
      <c r="AB558" s="2487"/>
      <c r="AC558" s="2487"/>
      <c r="AD558" s="2487"/>
      <c r="AE558" s="2487"/>
      <c r="AF558" s="2487"/>
      <c r="AG558" s="2487"/>
      <c r="AH558" s="2487"/>
      <c r="AI558" s="2487"/>
      <c r="AJ558" s="2487"/>
      <c r="AK558" s="2487"/>
      <c r="AL558" s="2488"/>
      <c r="AM558" s="588"/>
      <c r="AN558" s="590"/>
      <c r="AS558" s="861"/>
      <c r="AT558" s="861"/>
      <c r="AU558" s="861"/>
      <c r="AV558" s="861"/>
      <c r="AW558" s="861"/>
    </row>
    <row r="559" spans="1:81" s="544" customFormat="1" ht="12.75" customHeight="1">
      <c r="B559" s="797"/>
      <c r="C559" s="797"/>
      <c r="D559" s="797"/>
      <c r="E559" s="797"/>
      <c r="F559" s="2486"/>
      <c r="G559" s="2487"/>
      <c r="H559" s="2487"/>
      <c r="I559" s="2487"/>
      <c r="J559" s="2487"/>
      <c r="K559" s="2487"/>
      <c r="L559" s="2487"/>
      <c r="M559" s="2487"/>
      <c r="N559" s="2487"/>
      <c r="O559" s="2487"/>
      <c r="P559" s="2487"/>
      <c r="Q559" s="2487"/>
      <c r="R559" s="2487"/>
      <c r="S559" s="2487"/>
      <c r="T559" s="2487"/>
      <c r="U559" s="2487"/>
      <c r="V559" s="2487"/>
      <c r="W559" s="2487"/>
      <c r="X559" s="2487"/>
      <c r="Y559" s="2487"/>
      <c r="Z559" s="2487"/>
      <c r="AA559" s="2487"/>
      <c r="AB559" s="2487"/>
      <c r="AC559" s="2487"/>
      <c r="AD559" s="2487"/>
      <c r="AE559" s="2487"/>
      <c r="AF559" s="2487"/>
      <c r="AG559" s="2487"/>
      <c r="AH559" s="2487"/>
      <c r="AI559" s="2487"/>
      <c r="AJ559" s="2487"/>
      <c r="AK559" s="2487"/>
      <c r="AL559" s="2488"/>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6" t="s">
        <v>1551</v>
      </c>
      <c r="G561" s="2487"/>
      <c r="H561" s="2487"/>
      <c r="I561" s="2487"/>
      <c r="J561" s="2487"/>
      <c r="K561" s="2487"/>
      <c r="L561" s="2487"/>
      <c r="M561" s="2487"/>
      <c r="N561" s="2487"/>
      <c r="O561" s="2487"/>
      <c r="P561" s="2487"/>
      <c r="Q561" s="2487"/>
      <c r="R561" s="2487"/>
      <c r="S561" s="2487"/>
      <c r="T561" s="2487"/>
      <c r="U561" s="2487"/>
      <c r="V561" s="2487"/>
      <c r="W561" s="2487"/>
      <c r="X561" s="2487"/>
      <c r="Y561" s="2487"/>
      <c r="Z561" s="2487"/>
      <c r="AA561" s="2487"/>
      <c r="AB561" s="2487"/>
      <c r="AC561" s="2487"/>
      <c r="AD561" s="2487"/>
      <c r="AE561" s="2487"/>
      <c r="AF561" s="2487"/>
      <c r="AG561" s="2487"/>
      <c r="AH561" s="2487"/>
      <c r="AI561" s="2487"/>
      <c r="AJ561" s="2487"/>
      <c r="AK561" s="2487"/>
      <c r="AL561" s="804"/>
      <c r="AM561" s="588"/>
      <c r="AN561" s="590"/>
    </row>
    <row r="562" spans="1:45" s="544" customFormat="1" ht="12.75" customHeight="1">
      <c r="B562" s="797"/>
      <c r="C562" s="797"/>
      <c r="D562" s="797"/>
      <c r="E562" s="797"/>
      <c r="F562" s="2489"/>
      <c r="G562" s="2490"/>
      <c r="H562" s="2490"/>
      <c r="I562" s="2490"/>
      <c r="J562" s="2490"/>
      <c r="K562" s="2490"/>
      <c r="L562" s="2490"/>
      <c r="M562" s="2490"/>
      <c r="N562" s="2490"/>
      <c r="O562" s="2490"/>
      <c r="P562" s="2490"/>
      <c r="Q562" s="2490"/>
      <c r="R562" s="2490"/>
      <c r="S562" s="2490"/>
      <c r="T562" s="2490"/>
      <c r="U562" s="2490"/>
      <c r="V562" s="2490"/>
      <c r="W562" s="2490"/>
      <c r="X562" s="2490"/>
      <c r="Y562" s="2490"/>
      <c r="Z562" s="2490"/>
      <c r="AA562" s="2490"/>
      <c r="AB562" s="2490"/>
      <c r="AC562" s="2490"/>
      <c r="AD562" s="2490"/>
      <c r="AE562" s="2490"/>
      <c r="AF562" s="2490"/>
      <c r="AG562" s="2490"/>
      <c r="AH562" s="2490"/>
      <c r="AI562" s="2490"/>
      <c r="AJ562" s="2490"/>
      <c r="AK562" s="2490"/>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5">
        <f>Application!AJ1001</f>
        <v>92910700</v>
      </c>
      <c r="AQ563" s="2625"/>
      <c r="AR563" s="2625"/>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8">
        <f>'Sources and Uses Budget'!S107+'Sources and Uses Budget'!T107</f>
        <v>76831626</v>
      </c>
      <c r="AG564" s="2498"/>
      <c r="AH564" s="2498"/>
      <c r="AI564" s="2498"/>
      <c r="AJ564" s="2498"/>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9">
        <f>IFERROR(AP572,0)</f>
        <v>154708095</v>
      </c>
      <c r="AG565" s="2629"/>
      <c r="AH565" s="2629"/>
      <c r="AI565" s="2629"/>
      <c r="AJ565" s="2629"/>
      <c r="AK565" s="588"/>
      <c r="AL565" s="588"/>
      <c r="AM565" s="588"/>
      <c r="AN565" s="590"/>
      <c r="AP565" s="2625">
        <f>Application!AJ1054</f>
        <v>10220177</v>
      </c>
      <c r="AQ565" s="2625"/>
      <c r="AR565" s="2625"/>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0">
        <f>IFERROR(ROUNDDOWN(IF(C557="YES",((1-(AF564/AF565))*2),(1-(AF564/AF565))),2),0)</f>
        <v>0.5</v>
      </c>
      <c r="AG566" s="2630"/>
      <c r="AH566" s="2630"/>
      <c r="AI566" s="2630"/>
      <c r="AJ566" s="2630"/>
      <c r="AK566" s="588"/>
      <c r="AL566" s="588"/>
      <c r="AM566" s="588"/>
      <c r="AN566" s="590"/>
      <c r="AP566" s="2645">
        <f>Application!AJ1058</f>
        <v>20440354</v>
      </c>
      <c r="AQ566" s="2645"/>
      <c r="AR566" s="2645"/>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4">
        <f>IF(((AP565+AP566)/AP563)&gt;0.8,0.8,((AP565+AP566)/AP563))</f>
        <v>0.33</v>
      </c>
      <c r="AQ567" s="2624"/>
      <c r="AR567" s="2624"/>
      <c r="AS567" s="544" t="s">
        <v>2118</v>
      </c>
    </row>
    <row r="568" spans="1:45" s="544" customFormat="1" ht="12.75" customHeight="1">
      <c r="A568" s="617"/>
      <c r="B568" s="2571" t="s">
        <v>1985</v>
      </c>
      <c r="C568" s="2572"/>
      <c r="D568" s="2572"/>
      <c r="E568" s="2572"/>
      <c r="F568" s="2572"/>
      <c r="G568" s="2572"/>
      <c r="H568" s="2572"/>
      <c r="I568" s="2572"/>
      <c r="J568" s="2572"/>
      <c r="K568" s="2572"/>
      <c r="L568" s="2572"/>
      <c r="M568" s="2572"/>
      <c r="N568" s="2572"/>
      <c r="O568" s="2572"/>
      <c r="P568" s="2572"/>
      <c r="Q568" s="2572"/>
      <c r="R568" s="2572"/>
      <c r="S568" s="2572"/>
      <c r="T568" s="2572"/>
      <c r="U568" s="2572"/>
      <c r="V568" s="2572"/>
      <c r="W568" s="2572"/>
      <c r="X568" s="2572"/>
      <c r="Y568" s="2572"/>
      <c r="Z568" s="2572"/>
      <c r="AA568" s="2572"/>
      <c r="AB568" s="2572"/>
      <c r="AC568" s="2572"/>
      <c r="AD568" s="2572"/>
      <c r="AE568" s="2572"/>
      <c r="AF568" s="2572"/>
      <c r="AG568" s="2572"/>
      <c r="AH568" s="2572"/>
      <c r="AI568" s="2572"/>
      <c r="AJ568" s="2573"/>
      <c r="AK568" s="588"/>
      <c r="AL568" s="588"/>
      <c r="AM568" s="588"/>
      <c r="AN568" s="590"/>
    </row>
    <row r="569" spans="1:45" s="544" customFormat="1" ht="12.75" customHeight="1">
      <c r="A569" s="617"/>
      <c r="B569" s="2574"/>
      <c r="C569" s="2575"/>
      <c r="D569" s="2575"/>
      <c r="E569" s="2575"/>
      <c r="F569" s="2575"/>
      <c r="G569" s="2575"/>
      <c r="H569" s="2575"/>
      <c r="I569" s="2575"/>
      <c r="J569" s="2575"/>
      <c r="K569" s="2575"/>
      <c r="L569" s="2575"/>
      <c r="M569" s="2575"/>
      <c r="N569" s="2575"/>
      <c r="O569" s="2575"/>
      <c r="P569" s="2575"/>
      <c r="Q569" s="2575"/>
      <c r="R569" s="2575"/>
      <c r="S569" s="2575"/>
      <c r="T569" s="2575"/>
      <c r="U569" s="2575"/>
      <c r="V569" s="2575"/>
      <c r="W569" s="2575"/>
      <c r="X569" s="2575"/>
      <c r="Y569" s="2575"/>
      <c r="Z569" s="2575"/>
      <c r="AA569" s="2575"/>
      <c r="AB569" s="2575"/>
      <c r="AC569" s="2575"/>
      <c r="AD569" s="2575"/>
      <c r="AE569" s="2575"/>
      <c r="AF569" s="2575"/>
      <c r="AG569" s="2575"/>
      <c r="AH569" s="2575"/>
      <c r="AI569" s="2575"/>
      <c r="AJ569" s="2576"/>
      <c r="AK569" s="588"/>
      <c r="AL569" s="588"/>
      <c r="AM569" s="588"/>
      <c r="AN569" s="590"/>
      <c r="AP569" s="2625">
        <f>AP570-AP565-AP566</f>
        <v>124047564</v>
      </c>
      <c r="AQ569" s="2556"/>
      <c r="AR569" s="2556"/>
      <c r="AS569" s="544" t="s">
        <v>2120</v>
      </c>
    </row>
    <row r="570" spans="1:45" s="544" customFormat="1" ht="12.75" customHeight="1">
      <c r="A570" s="617"/>
      <c r="B570" s="2577"/>
      <c r="C570" s="2578"/>
      <c r="D570" s="2578"/>
      <c r="E570" s="2578"/>
      <c r="F570" s="2578"/>
      <c r="G570" s="2578"/>
      <c r="H570" s="2578"/>
      <c r="I570" s="2578"/>
      <c r="J570" s="2578"/>
      <c r="K570" s="2578"/>
      <c r="L570" s="2578"/>
      <c r="M570" s="2578"/>
      <c r="N570" s="2578"/>
      <c r="O570" s="2578"/>
      <c r="P570" s="2578"/>
      <c r="Q570" s="2578"/>
      <c r="R570" s="2578"/>
      <c r="S570" s="2578"/>
      <c r="T570" s="2578"/>
      <c r="U570" s="2578"/>
      <c r="V570" s="2578"/>
      <c r="W570" s="2578"/>
      <c r="X570" s="2578"/>
      <c r="Y570" s="2578"/>
      <c r="Z570" s="2578"/>
      <c r="AA570" s="2578"/>
      <c r="AB570" s="2578"/>
      <c r="AC570" s="2578"/>
      <c r="AD570" s="2578"/>
      <c r="AE570" s="2578"/>
      <c r="AF570" s="2578"/>
      <c r="AG570" s="2578"/>
      <c r="AH570" s="2578"/>
      <c r="AI570" s="2578"/>
      <c r="AJ570" s="2579"/>
      <c r="AK570" s="588"/>
      <c r="AL570" s="588"/>
      <c r="AM570" s="588"/>
      <c r="AN570" s="590"/>
      <c r="AP570" s="2625">
        <f>Application!AJ1062</f>
        <v>154708095</v>
      </c>
      <c r="AQ570" s="2625"/>
      <c r="AR570" s="2625"/>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80">
        <f>IFERROR(IF(AND(C554="N/A",C557="N/A"),0,IF(AF566=0,0,IF((AF566*100)&gt;12,12,(AF566*100)))),0)</f>
        <v>12</v>
      </c>
      <c r="AL572" s="2580"/>
      <c r="AM572" s="2581"/>
      <c r="AN572" s="590"/>
      <c r="AP572" s="2638">
        <f>AP569+(AP563*AP567)</f>
        <v>154708095</v>
      </c>
      <c r="AQ572" s="2639"/>
      <c r="AR572" s="2640"/>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7" t="s">
        <v>1305</v>
      </c>
      <c r="AF575" s="2437"/>
      <c r="AG575" s="2437"/>
      <c r="AH575" s="2437"/>
      <c r="AI575" s="2437"/>
      <c r="AJ575" s="2437"/>
      <c r="AK575" s="2437"/>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7" t="s">
        <v>1977</v>
      </c>
      <c r="C577" s="2487"/>
      <c r="D577" s="2487"/>
      <c r="E577" s="2487"/>
      <c r="F577" s="2487"/>
      <c r="G577" s="2487"/>
      <c r="H577" s="2487"/>
      <c r="I577" s="2487"/>
      <c r="J577" s="2487"/>
      <c r="K577" s="2487"/>
      <c r="L577" s="2487"/>
      <c r="M577" s="2487"/>
      <c r="N577" s="2487"/>
      <c r="O577" s="2487"/>
      <c r="P577" s="2487"/>
      <c r="Q577" s="2487"/>
      <c r="R577" s="2487"/>
      <c r="S577" s="2487"/>
      <c r="T577" s="2487"/>
      <c r="U577" s="2487"/>
      <c r="V577" s="2487"/>
      <c r="W577" s="2487"/>
      <c r="X577" s="2487"/>
      <c r="Y577" s="2487"/>
      <c r="Z577" s="2487"/>
      <c r="AA577" s="2487"/>
      <c r="AB577" s="2487"/>
      <c r="AC577" s="2487"/>
      <c r="AD577" s="2487"/>
      <c r="AE577" s="2487"/>
      <c r="AF577" s="2487"/>
      <c r="AG577" s="2487"/>
      <c r="AH577" s="2487"/>
      <c r="AI577" s="2487"/>
      <c r="AJ577" s="2487"/>
      <c r="AK577" s="635"/>
      <c r="AL577" s="566"/>
      <c r="AM577" s="596"/>
      <c r="AN577" s="590"/>
    </row>
    <row r="578" spans="1:42" s="544" customFormat="1" ht="12.75" customHeight="1">
      <c r="A578" s="596"/>
      <c r="B578" s="2487"/>
      <c r="C578" s="2487"/>
      <c r="D578" s="2487"/>
      <c r="E578" s="2487"/>
      <c r="F578" s="2487"/>
      <c r="G578" s="2487"/>
      <c r="H578" s="2487"/>
      <c r="I578" s="2487"/>
      <c r="J578" s="2487"/>
      <c r="K578" s="2487"/>
      <c r="L578" s="2487"/>
      <c r="M578" s="2487"/>
      <c r="N578" s="2487"/>
      <c r="O578" s="2487"/>
      <c r="P578" s="2487"/>
      <c r="Q578" s="2487"/>
      <c r="R578" s="2487"/>
      <c r="S578" s="2487"/>
      <c r="T578" s="2487"/>
      <c r="U578" s="2487"/>
      <c r="V578" s="2487"/>
      <c r="W578" s="2487"/>
      <c r="X578" s="2487"/>
      <c r="Y578" s="2487"/>
      <c r="Z578" s="2487"/>
      <c r="AA578" s="2487"/>
      <c r="AB578" s="2487"/>
      <c r="AC578" s="2487"/>
      <c r="AD578" s="2487"/>
      <c r="AE578" s="2487"/>
      <c r="AF578" s="2487"/>
      <c r="AG578" s="2487"/>
      <c r="AH578" s="2487"/>
      <c r="AI578" s="2487"/>
      <c r="AJ578" s="2487"/>
      <c r="AK578" s="635"/>
      <c r="AL578" s="566"/>
      <c r="AM578" s="596"/>
      <c r="AN578" s="590"/>
    </row>
    <row r="579" spans="1:42" s="544" customFormat="1" ht="12.75" customHeight="1">
      <c r="A579" s="596"/>
      <c r="B579" s="2487"/>
      <c r="C579" s="2487"/>
      <c r="D579" s="2487"/>
      <c r="E579" s="2487"/>
      <c r="F579" s="2487"/>
      <c r="G579" s="2487"/>
      <c r="H579" s="2487"/>
      <c r="I579" s="2487"/>
      <c r="J579" s="2487"/>
      <c r="K579" s="2487"/>
      <c r="L579" s="2487"/>
      <c r="M579" s="2487"/>
      <c r="N579" s="2487"/>
      <c r="O579" s="2487"/>
      <c r="P579" s="2487"/>
      <c r="Q579" s="2487"/>
      <c r="R579" s="2487"/>
      <c r="S579" s="2487"/>
      <c r="T579" s="2487"/>
      <c r="U579" s="2487"/>
      <c r="V579" s="2487"/>
      <c r="W579" s="2487"/>
      <c r="X579" s="2487"/>
      <c r="Y579" s="2487"/>
      <c r="Z579" s="2487"/>
      <c r="AA579" s="2487"/>
      <c r="AB579" s="2487"/>
      <c r="AC579" s="2487"/>
      <c r="AD579" s="2487"/>
      <c r="AE579" s="2487"/>
      <c r="AF579" s="2487"/>
      <c r="AG579" s="2487"/>
      <c r="AH579" s="2487"/>
      <c r="AI579" s="2487"/>
      <c r="AJ579" s="2487"/>
      <c r="AK579" s="635"/>
      <c r="AL579" s="566"/>
      <c r="AM579" s="596"/>
      <c r="AN579" s="590"/>
    </row>
    <row r="580" spans="1:42" s="544" customFormat="1" ht="12.75" customHeight="1">
      <c r="A580" s="596"/>
      <c r="B580" s="2487"/>
      <c r="C580" s="2487"/>
      <c r="D580" s="2487"/>
      <c r="E580" s="2487"/>
      <c r="F580" s="2487"/>
      <c r="G580" s="2487"/>
      <c r="H580" s="2487"/>
      <c r="I580" s="2487"/>
      <c r="J580" s="2487"/>
      <c r="K580" s="2487"/>
      <c r="L580" s="2487"/>
      <c r="M580" s="2487"/>
      <c r="N580" s="2487"/>
      <c r="O580" s="2487"/>
      <c r="P580" s="2487"/>
      <c r="Q580" s="2487"/>
      <c r="R580" s="2487"/>
      <c r="S580" s="2487"/>
      <c r="T580" s="2487"/>
      <c r="U580" s="2487"/>
      <c r="V580" s="2487"/>
      <c r="W580" s="2487"/>
      <c r="X580" s="2487"/>
      <c r="Y580" s="2487"/>
      <c r="Z580" s="2487"/>
      <c r="AA580" s="2487"/>
      <c r="AB580" s="2487"/>
      <c r="AC580" s="2487"/>
      <c r="AD580" s="2487"/>
      <c r="AE580" s="2487"/>
      <c r="AF580" s="2487"/>
      <c r="AG580" s="2487"/>
      <c r="AH580" s="2487"/>
      <c r="AI580" s="2487"/>
      <c r="AJ580" s="2487"/>
      <c r="AK580" s="635"/>
      <c r="AL580" s="566"/>
      <c r="AM580" s="596"/>
      <c r="AN580" s="590"/>
    </row>
    <row r="581" spans="1:42" s="544" customFormat="1" ht="12.75" customHeight="1">
      <c r="A581" s="596"/>
      <c r="B581" s="2487"/>
      <c r="C581" s="2487"/>
      <c r="D581" s="2487"/>
      <c r="E581" s="2487"/>
      <c r="F581" s="2487"/>
      <c r="G581" s="2487"/>
      <c r="H581" s="2487"/>
      <c r="I581" s="2487"/>
      <c r="J581" s="2487"/>
      <c r="K581" s="2487"/>
      <c r="L581" s="2487"/>
      <c r="M581" s="2487"/>
      <c r="N581" s="2487"/>
      <c r="O581" s="2487"/>
      <c r="P581" s="2487"/>
      <c r="Q581" s="2487"/>
      <c r="R581" s="2487"/>
      <c r="S581" s="2487"/>
      <c r="T581" s="2487"/>
      <c r="U581" s="2487"/>
      <c r="V581" s="2487"/>
      <c r="W581" s="2487"/>
      <c r="X581" s="2487"/>
      <c r="Y581" s="2487"/>
      <c r="Z581" s="2487"/>
      <c r="AA581" s="2487"/>
      <c r="AB581" s="2487"/>
      <c r="AC581" s="2487"/>
      <c r="AD581" s="2487"/>
      <c r="AE581" s="2487"/>
      <c r="AF581" s="2487"/>
      <c r="AG581" s="2487"/>
      <c r="AH581" s="2487"/>
      <c r="AI581" s="2487"/>
      <c r="AJ581" s="2487"/>
      <c r="AK581" s="635"/>
      <c r="AL581" s="566"/>
      <c r="AM581" s="596"/>
      <c r="AN581" s="590"/>
    </row>
    <row r="582" spans="1:42" s="544" customFormat="1" ht="12.75" customHeight="1">
      <c r="A582" s="596"/>
      <c r="B582" s="2487"/>
      <c r="C582" s="2487"/>
      <c r="D582" s="2487"/>
      <c r="E582" s="2487"/>
      <c r="F582" s="2487"/>
      <c r="G582" s="2487"/>
      <c r="H582" s="2487"/>
      <c r="I582" s="2487"/>
      <c r="J582" s="2487"/>
      <c r="K582" s="2487"/>
      <c r="L582" s="2487"/>
      <c r="M582" s="2487"/>
      <c r="N582" s="2487"/>
      <c r="O582" s="2487"/>
      <c r="P582" s="2487"/>
      <c r="Q582" s="2487"/>
      <c r="R582" s="2487"/>
      <c r="S582" s="2487"/>
      <c r="T582" s="2487"/>
      <c r="U582" s="2487"/>
      <c r="V582" s="2487"/>
      <c r="W582" s="2487"/>
      <c r="X582" s="2487"/>
      <c r="Y582" s="2487"/>
      <c r="Z582" s="2487"/>
      <c r="AA582" s="2487"/>
      <c r="AB582" s="2487"/>
      <c r="AC582" s="2487"/>
      <c r="AD582" s="2487"/>
      <c r="AE582" s="2487"/>
      <c r="AF582" s="2487"/>
      <c r="AG582" s="2487"/>
      <c r="AH582" s="2487"/>
      <c r="AI582" s="2487"/>
      <c r="AJ582" s="2487"/>
      <c r="AK582" s="635"/>
      <c r="AL582" s="566"/>
      <c r="AM582" s="596"/>
      <c r="AN582" s="590"/>
    </row>
    <row r="583" spans="1:42" s="544" customFormat="1" ht="12.75" customHeight="1">
      <c r="A583" s="596"/>
      <c r="B583" s="2487"/>
      <c r="C583" s="2487"/>
      <c r="D583" s="2487"/>
      <c r="E583" s="2487"/>
      <c r="F583" s="2487"/>
      <c r="G583" s="2487"/>
      <c r="H583" s="2487"/>
      <c r="I583" s="2487"/>
      <c r="J583" s="2487"/>
      <c r="K583" s="2487"/>
      <c r="L583" s="2487"/>
      <c r="M583" s="2487"/>
      <c r="N583" s="2487"/>
      <c r="O583" s="2487"/>
      <c r="P583" s="2487"/>
      <c r="Q583" s="2487"/>
      <c r="R583" s="2487"/>
      <c r="S583" s="2487"/>
      <c r="T583" s="2487"/>
      <c r="U583" s="2487"/>
      <c r="V583" s="2487"/>
      <c r="W583" s="2487"/>
      <c r="X583" s="2487"/>
      <c r="Y583" s="2487"/>
      <c r="Z583" s="2487"/>
      <c r="AA583" s="2487"/>
      <c r="AB583" s="2487"/>
      <c r="AC583" s="2487"/>
      <c r="AD583" s="2487"/>
      <c r="AE583" s="2487"/>
      <c r="AF583" s="2487"/>
      <c r="AG583" s="2487"/>
      <c r="AH583" s="2487"/>
      <c r="AI583" s="2487"/>
      <c r="AJ583" s="2487"/>
      <c r="AK583" s="635"/>
      <c r="AL583" s="566"/>
      <c r="AM583" s="596"/>
      <c r="AN583" s="590"/>
    </row>
    <row r="584" spans="1:42" ht="12.75" customHeight="1">
      <c r="A584" s="596"/>
      <c r="B584" s="2487"/>
      <c r="C584" s="2487"/>
      <c r="D584" s="2487"/>
      <c r="E584" s="2487"/>
      <c r="F584" s="2487"/>
      <c r="G584" s="2487"/>
      <c r="H584" s="2487"/>
      <c r="I584" s="2487"/>
      <c r="J584" s="2487"/>
      <c r="K584" s="2487"/>
      <c r="L584" s="2487"/>
      <c r="M584" s="2487"/>
      <c r="N584" s="2487"/>
      <c r="O584" s="2487"/>
      <c r="P584" s="2487"/>
      <c r="Q584" s="2487"/>
      <c r="R584" s="2487"/>
      <c r="S584" s="2487"/>
      <c r="T584" s="2487"/>
      <c r="U584" s="2487"/>
      <c r="V584" s="2487"/>
      <c r="W584" s="2487"/>
      <c r="X584" s="2487"/>
      <c r="Y584" s="2487"/>
      <c r="Z584" s="2487"/>
      <c r="AA584" s="2487"/>
      <c r="AB584" s="2487"/>
      <c r="AC584" s="2487"/>
      <c r="AD584" s="2487"/>
      <c r="AE584" s="2487"/>
      <c r="AF584" s="2487"/>
      <c r="AG584" s="2487"/>
      <c r="AH584" s="2487"/>
      <c r="AI584" s="2487"/>
      <c r="AJ584" s="2487"/>
      <c r="AK584" s="635"/>
      <c r="AL584" s="566"/>
      <c r="AM584" s="596"/>
    </row>
    <row r="585" spans="1:42" s="544" customFormat="1" ht="12.75" customHeight="1">
      <c r="B585" s="2487"/>
      <c r="C585" s="2487"/>
      <c r="D585" s="2487"/>
      <c r="E585" s="2487"/>
      <c r="F585" s="2487"/>
      <c r="G585" s="2487"/>
      <c r="H585" s="2487"/>
      <c r="I585" s="2487"/>
      <c r="J585" s="2487"/>
      <c r="K585" s="2487"/>
      <c r="L585" s="2487"/>
      <c r="M585" s="2487"/>
      <c r="N585" s="2487"/>
      <c r="O585" s="2487"/>
      <c r="P585" s="2487"/>
      <c r="Q585" s="2487"/>
      <c r="R585" s="2487"/>
      <c r="S585" s="2487"/>
      <c r="T585" s="2487"/>
      <c r="U585" s="2487"/>
      <c r="V585" s="2487"/>
      <c r="W585" s="2487"/>
      <c r="X585" s="2487"/>
      <c r="Y585" s="2487"/>
      <c r="Z585" s="2487"/>
      <c r="AA585" s="2487"/>
      <c r="AB585" s="2487"/>
      <c r="AC585" s="2487"/>
      <c r="AD585" s="2487"/>
      <c r="AE585" s="2487"/>
      <c r="AF585" s="2487"/>
      <c r="AG585" s="2487"/>
      <c r="AH585" s="2487"/>
      <c r="AI585" s="2487"/>
      <c r="AJ585" s="2487"/>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589</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543</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685</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0" t="s">
        <v>1329</v>
      </c>
      <c r="AG591" s="2470"/>
      <c r="AH591" s="2470"/>
      <c r="AI591" s="2470"/>
      <c r="AJ591" s="2470"/>
      <c r="AK591" s="2470"/>
      <c r="AL591" s="2470"/>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1</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507</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0" t="s">
        <v>1385</v>
      </c>
      <c r="AG598" s="2470"/>
      <c r="AH598" s="2470"/>
      <c r="AI598" s="2470"/>
      <c r="AJ598" s="2470"/>
      <c r="AK598" s="2470"/>
      <c r="AL598" s="2470"/>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589</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685</v>
      </c>
      <c r="AP600" s="544">
        <f>7*AP595</f>
        <v>7</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507</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278</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0" t="s">
        <v>1368</v>
      </c>
      <c r="AG604" s="2470"/>
      <c r="AH604" s="2470"/>
      <c r="AI604" s="2470"/>
      <c r="AJ604" s="2470"/>
      <c r="AK604" s="2470"/>
      <c r="AL604" s="2470"/>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0" t="s">
        <v>1388</v>
      </c>
      <c r="AG610" s="2470"/>
      <c r="AH610" s="2470"/>
      <c r="AI610" s="2470"/>
      <c r="AJ610" s="2470"/>
      <c r="AK610" s="2470"/>
      <c r="AL610" s="2470"/>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2" t="s">
        <v>1181</v>
      </c>
      <c r="P614" s="2552"/>
      <c r="Q614" s="2552"/>
      <c r="R614" s="2552"/>
      <c r="S614" s="2552"/>
      <c r="T614" s="2552"/>
      <c r="U614" s="2552"/>
      <c r="V614" s="2552"/>
      <c r="W614" s="2552"/>
      <c r="X614" s="2552"/>
      <c r="Y614" s="2552"/>
      <c r="Z614" s="2552"/>
      <c r="AA614" s="2552"/>
      <c r="AB614" s="2552"/>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0" t="s">
        <v>1343</v>
      </c>
      <c r="AG616" s="2470"/>
      <c r="AH616" s="2470"/>
      <c r="AI616" s="2470"/>
      <c r="AJ616" s="2470"/>
      <c r="AK616" s="2470"/>
      <c r="AL616" s="2470"/>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589</v>
      </c>
      <c r="AP618" s="664">
        <v>0</v>
      </c>
      <c r="AT618" s="544" t="s">
        <v>589</v>
      </c>
      <c r="AU618" s="664">
        <v>0</v>
      </c>
    </row>
    <row r="619" spans="1:53" s="544" customFormat="1" ht="12.75" customHeight="1">
      <c r="B619" s="532"/>
      <c r="C619" s="924"/>
      <c r="D619" s="532" t="s">
        <v>1389</v>
      </c>
      <c r="E619" s="927"/>
      <c r="F619" s="927"/>
      <c r="G619" s="927"/>
      <c r="H619" s="2550" t="s">
        <v>685</v>
      </c>
      <c r="I619" s="2550"/>
      <c r="J619" s="927"/>
      <c r="K619" s="927"/>
      <c r="L619" s="927"/>
      <c r="N619" s="22"/>
      <c r="O619" s="22"/>
      <c r="P619" s="22"/>
      <c r="Q619" s="1140" t="s">
        <v>2123</v>
      </c>
      <c r="R619" s="2553"/>
      <c r="S619" s="2553"/>
      <c r="T619" s="2553"/>
      <c r="U619" s="2553"/>
      <c r="V619" s="2553"/>
      <c r="W619" s="2553"/>
      <c r="X619" s="532"/>
      <c r="Y619" s="532"/>
      <c r="Z619" s="532"/>
      <c r="AA619" s="532"/>
      <c r="AB619" s="532"/>
      <c r="AC619" s="532"/>
      <c r="AD619" s="532"/>
      <c r="AE619" s="532"/>
      <c r="AF619" s="532"/>
      <c r="AG619" s="532"/>
      <c r="AH619" s="532"/>
      <c r="AI619" s="532"/>
      <c r="AJ619" s="532"/>
      <c r="AK619" s="532"/>
      <c r="AL619" s="532"/>
      <c r="AN619" s="590"/>
      <c r="AO619" s="604" t="s">
        <v>685</v>
      </c>
      <c r="AP619" s="544">
        <v>3</v>
      </c>
      <c r="AT619" s="604" t="s">
        <v>685</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4" t="str">
        <f>IF(AND(H619="(i)",NOT(AP595)),AO612,IF(AND(H619="(iv)",OR(R619=AO608,R619=AO607),NOT(AP596)),AO613,""))</f>
        <v/>
      </c>
      <c r="Z620" s="2554"/>
      <c r="AA620" s="2554"/>
      <c r="AB620" s="2554"/>
      <c r="AC620" s="2554"/>
      <c r="AD620" s="2554"/>
      <c r="AE620" s="2554"/>
      <c r="AF620" s="2554"/>
      <c r="AG620" s="2554"/>
      <c r="AH620" s="2554"/>
      <c r="AI620" s="2554"/>
      <c r="AJ620" s="2554"/>
      <c r="AK620" s="2554"/>
      <c r="AL620" s="2554"/>
      <c r="AM620" s="2555"/>
      <c r="AN620" s="590"/>
      <c r="AO620" s="604" t="s">
        <v>507</v>
      </c>
      <c r="AP620" s="544">
        <v>2</v>
      </c>
      <c r="AT620" s="604" t="s">
        <v>507</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4"/>
      <c r="Z621" s="2554"/>
      <c r="AA621" s="2554"/>
      <c r="AB621" s="2554"/>
      <c r="AC621" s="2554"/>
      <c r="AD621" s="2554"/>
      <c r="AE621" s="2554"/>
      <c r="AF621" s="2554"/>
      <c r="AG621" s="2554"/>
      <c r="AH621" s="2554"/>
      <c r="AI621" s="2554"/>
      <c r="AJ621" s="2554"/>
      <c r="AK621" s="2554"/>
      <c r="AL621" s="2554"/>
      <c r="AM621" s="2555"/>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589</v>
      </c>
      <c r="AP626" s="664">
        <v>0</v>
      </c>
    </row>
    <row r="627" spans="1:42" s="544" customFormat="1" ht="12.75" customHeight="1">
      <c r="B627" s="532"/>
      <c r="C627" s="924"/>
      <c r="D627" s="532"/>
      <c r="E627" s="532" t="s">
        <v>1389</v>
      </c>
      <c r="F627" s="927"/>
      <c r="G627" s="927"/>
      <c r="I627" s="2551" t="s">
        <v>589</v>
      </c>
      <c r="J627" s="2551"/>
      <c r="K627" s="2551"/>
      <c r="L627" s="2551"/>
      <c r="M627" s="2551"/>
      <c r="N627" s="2551"/>
      <c r="O627" s="2551"/>
      <c r="P627" s="2551"/>
      <c r="Q627" s="2551"/>
      <c r="R627" s="2551"/>
      <c r="S627" s="2551"/>
      <c r="T627" s="2551"/>
      <c r="U627" s="2551"/>
      <c r="V627" s="2551"/>
      <c r="W627" s="2551"/>
      <c r="X627" s="2551"/>
      <c r="Y627" s="2551"/>
      <c r="Z627" s="2551"/>
      <c r="AA627" s="2551"/>
      <c r="AB627" s="2551"/>
      <c r="AC627" s="2551"/>
      <c r="AD627" s="2551"/>
      <c r="AE627" s="2551"/>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82" t="s">
        <v>589</v>
      </c>
      <c r="C629" s="2482"/>
      <c r="D629" s="635"/>
      <c r="E629" s="2487" t="s">
        <v>1392</v>
      </c>
      <c r="F629" s="2487"/>
      <c r="G629" s="2487"/>
      <c r="H629" s="2487"/>
      <c r="I629" s="2487"/>
      <c r="J629" s="2487"/>
      <c r="K629" s="2487"/>
      <c r="L629" s="2487"/>
      <c r="M629" s="2487"/>
      <c r="N629" s="2487"/>
      <c r="O629" s="2487"/>
      <c r="P629" s="2487"/>
      <c r="Q629" s="2487"/>
      <c r="R629" s="2487"/>
      <c r="S629" s="2487"/>
      <c r="T629" s="2487"/>
      <c r="U629" s="2487"/>
      <c r="V629" s="2487"/>
      <c r="W629" s="2487"/>
      <c r="X629" s="2487"/>
      <c r="Y629" s="2487"/>
      <c r="Z629" s="2487"/>
      <c r="AA629" s="2487"/>
      <c r="AB629" s="2487"/>
      <c r="AC629" s="2487"/>
      <c r="AD629" s="2487"/>
      <c r="AE629" s="2487"/>
      <c r="AF629" s="2487"/>
      <c r="AG629" s="2487"/>
      <c r="AH629" s="635"/>
      <c r="AI629" s="635"/>
      <c r="AJ629" s="635"/>
      <c r="AK629" s="635"/>
      <c r="AL629" s="635"/>
      <c r="AN629" s="590"/>
    </row>
    <row r="630" spans="1:42" s="544" customFormat="1" ht="12.75" customHeight="1">
      <c r="B630" s="532"/>
      <c r="C630" s="924"/>
      <c r="D630" s="635"/>
      <c r="E630" s="2487"/>
      <c r="F630" s="2487"/>
      <c r="G630" s="2487"/>
      <c r="H630" s="2487"/>
      <c r="I630" s="2487"/>
      <c r="J630" s="2487"/>
      <c r="K630" s="2487"/>
      <c r="L630" s="2487"/>
      <c r="M630" s="2487"/>
      <c r="N630" s="2487"/>
      <c r="O630" s="2487"/>
      <c r="P630" s="2487"/>
      <c r="Q630" s="2487"/>
      <c r="R630" s="2487"/>
      <c r="S630" s="2487"/>
      <c r="T630" s="2487"/>
      <c r="U630" s="2487"/>
      <c r="V630" s="2487"/>
      <c r="W630" s="2487"/>
      <c r="X630" s="2487"/>
      <c r="Y630" s="2487"/>
      <c r="Z630" s="2487"/>
      <c r="AA630" s="2487"/>
      <c r="AB630" s="2487"/>
      <c r="AC630" s="2487"/>
      <c r="AD630" s="2487"/>
      <c r="AE630" s="2487"/>
      <c r="AF630" s="2487"/>
      <c r="AG630" s="2487"/>
      <c r="AH630" s="635"/>
      <c r="AI630" s="635"/>
      <c r="AJ630" s="635"/>
      <c r="AK630" s="635"/>
      <c r="AL630" s="635"/>
      <c r="AN630" s="590"/>
    </row>
    <row r="631" spans="1:42" s="544" customFormat="1" ht="12.75" customHeight="1">
      <c r="B631" s="532"/>
      <c r="C631" s="924"/>
      <c r="D631" s="635"/>
      <c r="E631" s="2487"/>
      <c r="F631" s="2487"/>
      <c r="G631" s="2487"/>
      <c r="H631" s="2487"/>
      <c r="I631" s="2487"/>
      <c r="J631" s="2487"/>
      <c r="K631" s="2487"/>
      <c r="L631" s="2487"/>
      <c r="M631" s="2487"/>
      <c r="N631" s="2487"/>
      <c r="O631" s="2487"/>
      <c r="P631" s="2487"/>
      <c r="Q631" s="2487"/>
      <c r="R631" s="2487"/>
      <c r="S631" s="2487"/>
      <c r="T631" s="2487"/>
      <c r="U631" s="2487"/>
      <c r="V631" s="2487"/>
      <c r="W631" s="2487"/>
      <c r="X631" s="2487"/>
      <c r="Y631" s="2487"/>
      <c r="Z631" s="2487"/>
      <c r="AA631" s="2487"/>
      <c r="AB631" s="2487"/>
      <c r="AC631" s="2487"/>
      <c r="AD631" s="2487"/>
      <c r="AE631" s="2487"/>
      <c r="AF631" s="2487"/>
      <c r="AG631" s="2487"/>
      <c r="AH631" s="635"/>
      <c r="AI631" s="635"/>
      <c r="AJ631" s="635"/>
      <c r="AK631" s="635"/>
      <c r="AL631" s="635"/>
      <c r="AN631" s="590"/>
    </row>
    <row r="632" spans="1:42" s="544" customFormat="1" ht="12.75" customHeight="1">
      <c r="B632" s="532"/>
      <c r="C632" s="924"/>
      <c r="D632" s="635"/>
      <c r="E632" s="2487"/>
      <c r="F632" s="2487"/>
      <c r="G632" s="2487"/>
      <c r="H632" s="2487"/>
      <c r="I632" s="2487"/>
      <c r="J632" s="2487"/>
      <c r="K632" s="2487"/>
      <c r="L632" s="2487"/>
      <c r="M632" s="2487"/>
      <c r="N632" s="2487"/>
      <c r="O632" s="2487"/>
      <c r="P632" s="2487"/>
      <c r="Q632" s="2487"/>
      <c r="R632" s="2487"/>
      <c r="S632" s="2487"/>
      <c r="T632" s="2487"/>
      <c r="U632" s="2487"/>
      <c r="V632" s="2487"/>
      <c r="W632" s="2487"/>
      <c r="X632" s="2487"/>
      <c r="Y632" s="2487"/>
      <c r="Z632" s="2487"/>
      <c r="AA632" s="2487"/>
      <c r="AB632" s="2487"/>
      <c r="AC632" s="2487"/>
      <c r="AD632" s="2487"/>
      <c r="AE632" s="2487"/>
      <c r="AF632" s="2487"/>
      <c r="AG632" s="2487"/>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495">
        <f>VLOOKUP($H$619,$AO$599:$AP$604,2,FALSE)+IF(R619=AO607,0,VLOOKUP($I$627,$AO$626:$AP$628,2,FALSE))</f>
        <v>7</v>
      </c>
      <c r="AK634" s="2497"/>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685</v>
      </c>
      <c r="E638" s="2549" t="s">
        <v>1680</v>
      </c>
      <c r="F638" s="2549"/>
      <c r="G638" s="2549"/>
      <c r="H638" s="2549"/>
      <c r="I638" s="2549"/>
      <c r="J638" s="2549"/>
      <c r="K638" s="2549"/>
      <c r="L638" s="2549"/>
      <c r="M638" s="2549"/>
      <c r="N638" s="2549"/>
      <c r="O638" s="2549"/>
      <c r="P638" s="2549"/>
      <c r="Q638" s="2549"/>
      <c r="R638" s="2549"/>
      <c r="S638" s="2549"/>
      <c r="T638" s="2549"/>
      <c r="U638" s="2549"/>
      <c r="V638" s="2549"/>
      <c r="W638" s="2549"/>
      <c r="X638" s="2549"/>
      <c r="Y638" s="2549"/>
      <c r="Z638" s="2549"/>
      <c r="AA638" s="2549"/>
      <c r="AB638" s="2549"/>
      <c r="AC638" s="2549"/>
      <c r="AD638" s="2549"/>
      <c r="AE638" s="535"/>
      <c r="AF638" s="2470" t="s">
        <v>1343</v>
      </c>
      <c r="AG638" s="2470"/>
      <c r="AH638" s="2470"/>
      <c r="AI638" s="2470"/>
      <c r="AJ638" s="2470"/>
      <c r="AK638" s="2470"/>
      <c r="AL638" s="2470"/>
      <c r="AM638" s="544"/>
      <c r="AN638" s="669"/>
    </row>
    <row r="639" spans="1:42" s="544" customFormat="1" ht="12.75" customHeight="1">
      <c r="A639" s="670"/>
      <c r="B639" s="532"/>
      <c r="C639" s="924"/>
      <c r="D639" s="654"/>
      <c r="E639" s="2549"/>
      <c r="F639" s="2549"/>
      <c r="G639" s="2549"/>
      <c r="H639" s="2549"/>
      <c r="I639" s="2549"/>
      <c r="J639" s="2549"/>
      <c r="K639" s="2549"/>
      <c r="L639" s="2549"/>
      <c r="M639" s="2549"/>
      <c r="N639" s="2549"/>
      <c r="O639" s="2549"/>
      <c r="P639" s="2549"/>
      <c r="Q639" s="2549"/>
      <c r="R639" s="2549"/>
      <c r="S639" s="2549"/>
      <c r="T639" s="2549"/>
      <c r="U639" s="2549"/>
      <c r="V639" s="2549"/>
      <c r="W639" s="2549"/>
      <c r="X639" s="2549"/>
      <c r="Y639" s="2549"/>
      <c r="Z639" s="2549"/>
      <c r="AA639" s="2549"/>
      <c r="AB639" s="2549"/>
      <c r="AC639" s="2549"/>
      <c r="AD639" s="2549"/>
      <c r="AE639" s="532"/>
      <c r="AF639" s="532"/>
      <c r="AG639" s="532"/>
      <c r="AH639" s="532"/>
      <c r="AI639" s="532"/>
      <c r="AJ639" s="532"/>
      <c r="AK639" s="532"/>
      <c r="AL639" s="532"/>
      <c r="AN639" s="590"/>
    </row>
    <row r="640" spans="1:42" s="544" customFormat="1" ht="12.75" customHeight="1">
      <c r="B640" s="532"/>
      <c r="C640" s="922"/>
      <c r="D640" s="654"/>
      <c r="E640" s="2549"/>
      <c r="F640" s="2549"/>
      <c r="G640" s="2549"/>
      <c r="H640" s="2549"/>
      <c r="I640" s="2549"/>
      <c r="J640" s="2549"/>
      <c r="K640" s="2549"/>
      <c r="L640" s="2549"/>
      <c r="M640" s="2549"/>
      <c r="N640" s="2549"/>
      <c r="O640" s="2549"/>
      <c r="P640" s="2549"/>
      <c r="Q640" s="2549"/>
      <c r="R640" s="2549"/>
      <c r="S640" s="2549"/>
      <c r="T640" s="2549"/>
      <c r="U640" s="2549"/>
      <c r="V640" s="2549"/>
      <c r="W640" s="2549"/>
      <c r="X640" s="2549"/>
      <c r="Y640" s="2549"/>
      <c r="Z640" s="2549"/>
      <c r="AA640" s="2549"/>
      <c r="AB640" s="2549"/>
      <c r="AC640" s="2549"/>
      <c r="AD640" s="2549"/>
      <c r="AE640" s="532"/>
      <c r="AF640" s="532"/>
      <c r="AG640" s="532"/>
      <c r="AH640" s="532"/>
      <c r="AI640" s="532"/>
      <c r="AJ640" s="532"/>
      <c r="AK640" s="532"/>
      <c r="AL640" s="532"/>
      <c r="AN640" s="590"/>
    </row>
    <row r="641" spans="1:42" s="544" customFormat="1" ht="12.75" customHeight="1">
      <c r="B641" s="532"/>
      <c r="C641" s="922"/>
      <c r="D641" s="654"/>
      <c r="E641" s="2549"/>
      <c r="F641" s="2549"/>
      <c r="G641" s="2549"/>
      <c r="H641" s="2549"/>
      <c r="I641" s="2549"/>
      <c r="J641" s="2549"/>
      <c r="K641" s="2549"/>
      <c r="L641" s="2549"/>
      <c r="M641" s="2549"/>
      <c r="N641" s="2549"/>
      <c r="O641" s="2549"/>
      <c r="P641" s="2549"/>
      <c r="Q641" s="2549"/>
      <c r="R641" s="2549"/>
      <c r="S641" s="2549"/>
      <c r="T641" s="2549"/>
      <c r="U641" s="2549"/>
      <c r="V641" s="2549"/>
      <c r="W641" s="2549"/>
      <c r="X641" s="2549"/>
      <c r="Y641" s="2549"/>
      <c r="Z641" s="2549"/>
      <c r="AA641" s="2549"/>
      <c r="AB641" s="2549"/>
      <c r="AC641" s="2549"/>
      <c r="AD641" s="2549"/>
      <c r="AE641" s="532"/>
      <c r="AF641" s="532"/>
      <c r="AG641" s="532"/>
      <c r="AH641" s="532"/>
      <c r="AI641" s="532"/>
      <c r="AJ641" s="532"/>
      <c r="AK641" s="532"/>
      <c r="AL641" s="532"/>
      <c r="AN641" s="590"/>
    </row>
    <row r="642" spans="1:42" s="544" customFormat="1" ht="12.75" customHeight="1">
      <c r="B642" s="532"/>
      <c r="C642" s="922"/>
      <c r="D642" s="654"/>
      <c r="E642" s="2549"/>
      <c r="F642" s="2549"/>
      <c r="G642" s="2549"/>
      <c r="H642" s="2549"/>
      <c r="I642" s="2549"/>
      <c r="J642" s="2549"/>
      <c r="K642" s="2549"/>
      <c r="L642" s="2549"/>
      <c r="M642" s="2549"/>
      <c r="N642" s="2549"/>
      <c r="O642" s="2549"/>
      <c r="P642" s="2549"/>
      <c r="Q642" s="2549"/>
      <c r="R642" s="2549"/>
      <c r="S642" s="2549"/>
      <c r="T642" s="2549"/>
      <c r="U642" s="2549"/>
      <c r="V642" s="2549"/>
      <c r="W642" s="2549"/>
      <c r="X642" s="2549"/>
      <c r="Y642" s="2549"/>
      <c r="Z642" s="2549"/>
      <c r="AA642" s="2549"/>
      <c r="AB642" s="2549"/>
      <c r="AC642" s="2549"/>
      <c r="AD642" s="2549"/>
      <c r="AE642" s="532"/>
      <c r="AF642" s="532"/>
      <c r="AG642" s="532"/>
      <c r="AH642" s="532"/>
      <c r="AI642" s="532"/>
      <c r="AJ642" s="532"/>
      <c r="AK642" s="532"/>
      <c r="AL642" s="532"/>
      <c r="AN642" s="590"/>
    </row>
    <row r="643" spans="1:42" s="544" customFormat="1" ht="12.75" customHeight="1">
      <c r="B643" s="532"/>
      <c r="C643" s="922"/>
      <c r="D643" s="654"/>
      <c r="E643" s="2549"/>
      <c r="F643" s="2549"/>
      <c r="G643" s="2549"/>
      <c r="H643" s="2549"/>
      <c r="I643" s="2549"/>
      <c r="J643" s="2549"/>
      <c r="K643" s="2549"/>
      <c r="L643" s="2549"/>
      <c r="M643" s="2549"/>
      <c r="N643" s="2549"/>
      <c r="O643" s="2549"/>
      <c r="P643" s="2549"/>
      <c r="Q643" s="2549"/>
      <c r="R643" s="2549"/>
      <c r="S643" s="2549"/>
      <c r="T643" s="2549"/>
      <c r="U643" s="2549"/>
      <c r="V643" s="2549"/>
      <c r="W643" s="2549"/>
      <c r="X643" s="2549"/>
      <c r="Y643" s="2549"/>
      <c r="Z643" s="2549"/>
      <c r="AA643" s="2549"/>
      <c r="AB643" s="2549"/>
      <c r="AC643" s="2549"/>
      <c r="AD643" s="2549"/>
      <c r="AE643" s="532"/>
      <c r="AF643" s="532"/>
      <c r="AG643" s="532"/>
      <c r="AH643" s="532"/>
      <c r="AI643" s="532"/>
      <c r="AJ643" s="532"/>
      <c r="AK643" s="532"/>
      <c r="AL643" s="532"/>
      <c r="AN643" s="590"/>
    </row>
    <row r="644" spans="1:42" s="544" customFormat="1" ht="12.75" customHeight="1">
      <c r="A644" s="630"/>
      <c r="B644" s="609"/>
      <c r="C644" s="931"/>
      <c r="D644" s="654"/>
      <c r="E644" s="2549"/>
      <c r="F644" s="2549"/>
      <c r="G644" s="2549"/>
      <c r="H644" s="2549"/>
      <c r="I644" s="2549"/>
      <c r="J644" s="2549"/>
      <c r="K644" s="2549"/>
      <c r="L644" s="2549"/>
      <c r="M644" s="2549"/>
      <c r="N644" s="2549"/>
      <c r="O644" s="2549"/>
      <c r="P644" s="2549"/>
      <c r="Q644" s="2549"/>
      <c r="R644" s="2549"/>
      <c r="S644" s="2549"/>
      <c r="T644" s="2549"/>
      <c r="U644" s="2549"/>
      <c r="V644" s="2549"/>
      <c r="W644" s="2549"/>
      <c r="X644" s="2549"/>
      <c r="Y644" s="2549"/>
      <c r="Z644" s="2549"/>
      <c r="AA644" s="2549"/>
      <c r="AB644" s="2549"/>
      <c r="AC644" s="2549"/>
      <c r="AD644" s="2549"/>
      <c r="AE644" s="609"/>
      <c r="AF644" s="609"/>
      <c r="AG644" s="609"/>
      <c r="AH644" s="609"/>
      <c r="AI644" s="609"/>
      <c r="AJ644" s="609"/>
      <c r="AK644" s="532"/>
      <c r="AL644" s="532"/>
      <c r="AN644" s="590"/>
    </row>
    <row r="645" spans="1:42" s="544" customFormat="1" ht="12.75" customHeight="1">
      <c r="B645" s="609"/>
      <c r="C645" s="931"/>
      <c r="D645" s="654"/>
      <c r="E645" s="2549"/>
      <c r="F645" s="2549"/>
      <c r="G645" s="2549"/>
      <c r="H645" s="2549"/>
      <c r="I645" s="2549"/>
      <c r="J645" s="2549"/>
      <c r="K645" s="2549"/>
      <c r="L645" s="2549"/>
      <c r="M645" s="2549"/>
      <c r="N645" s="2549"/>
      <c r="O645" s="2549"/>
      <c r="P645" s="2549"/>
      <c r="Q645" s="2549"/>
      <c r="R645" s="2549"/>
      <c r="S645" s="2549"/>
      <c r="T645" s="2549"/>
      <c r="U645" s="2549"/>
      <c r="V645" s="2549"/>
      <c r="W645" s="2549"/>
      <c r="X645" s="2549"/>
      <c r="Y645" s="2549"/>
      <c r="Z645" s="2549"/>
      <c r="AA645" s="2549"/>
      <c r="AB645" s="2549"/>
      <c r="AC645" s="2549"/>
      <c r="AD645" s="2549"/>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589</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82" t="s">
        <v>589</v>
      </c>
      <c r="Y647" s="2482"/>
      <c r="Z647" s="932"/>
      <c r="AA647" s="932"/>
      <c r="AB647" s="932"/>
      <c r="AC647" s="932"/>
      <c r="AD647" s="932"/>
      <c r="AE647" s="532"/>
      <c r="AF647" s="609"/>
      <c r="AG647" s="609"/>
      <c r="AH647" s="609"/>
      <c r="AI647" s="609"/>
      <c r="AJ647" s="609"/>
      <c r="AK647" s="532"/>
      <c r="AL647" s="532"/>
      <c r="AN647" s="590"/>
      <c r="AO647" s="604" t="s">
        <v>685</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507</v>
      </c>
      <c r="AP648" s="671">
        <v>4</v>
      </c>
    </row>
    <row r="649" spans="1:42" s="544" customFormat="1" ht="12.75" customHeight="1">
      <c r="B649" s="532"/>
      <c r="C649" s="922"/>
      <c r="D649" s="654" t="s">
        <v>507</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0" t="s">
        <v>1397</v>
      </c>
      <c r="AG649" s="2470"/>
      <c r="AH649" s="2470"/>
      <c r="AI649" s="2470"/>
      <c r="AJ649" s="2470"/>
      <c r="AK649" s="2470"/>
      <c r="AL649" s="2470"/>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550" t="s">
        <v>685</v>
      </c>
      <c r="I651" s="2550"/>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495">
        <f>VLOOKUP($H$651,$AO$618:$AP$620,2,FALSE)</f>
        <v>3</v>
      </c>
      <c r="AK653" s="2497"/>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685</v>
      </c>
      <c r="E657" s="2487" t="s">
        <v>2045</v>
      </c>
      <c r="F657" s="2487"/>
      <c r="G657" s="2487"/>
      <c r="H657" s="2487"/>
      <c r="I657" s="2487"/>
      <c r="J657" s="2487"/>
      <c r="K657" s="2487"/>
      <c r="L657" s="2487"/>
      <c r="M657" s="2487"/>
      <c r="N657" s="2487"/>
      <c r="O657" s="2487"/>
      <c r="P657" s="2487"/>
      <c r="Q657" s="2487"/>
      <c r="R657" s="2487"/>
      <c r="S657" s="2487"/>
      <c r="T657" s="2487"/>
      <c r="U657" s="2487"/>
      <c r="V657" s="2487"/>
      <c r="W657" s="2487"/>
      <c r="X657" s="2487"/>
      <c r="Y657" s="2487"/>
      <c r="Z657" s="2487"/>
      <c r="AA657" s="2487"/>
      <c r="AB657" s="2487"/>
      <c r="AC657" s="2487"/>
      <c r="AD657" s="2487"/>
      <c r="AE657" s="532"/>
      <c r="AF657" s="2470" t="s">
        <v>1343</v>
      </c>
      <c r="AG657" s="2470"/>
      <c r="AH657" s="2470"/>
      <c r="AI657" s="2470"/>
      <c r="AJ657" s="2470"/>
      <c r="AK657" s="2470"/>
      <c r="AL657" s="2470"/>
      <c r="AN657" s="590"/>
    </row>
    <row r="658" spans="1:42" s="544" customFormat="1" ht="12.75" customHeight="1">
      <c r="B658" s="532"/>
      <c r="C658" s="532"/>
      <c r="D658" s="654"/>
      <c r="E658" s="2487"/>
      <c r="F658" s="2487"/>
      <c r="G658" s="2487"/>
      <c r="H658" s="2487"/>
      <c r="I658" s="2487"/>
      <c r="J658" s="2487"/>
      <c r="K658" s="2487"/>
      <c r="L658" s="2487"/>
      <c r="M658" s="2487"/>
      <c r="N658" s="2487"/>
      <c r="O658" s="2487"/>
      <c r="P658" s="2487"/>
      <c r="Q658" s="2487"/>
      <c r="R658" s="2487"/>
      <c r="S658" s="2487"/>
      <c r="T658" s="2487"/>
      <c r="U658" s="2487"/>
      <c r="V658" s="2487"/>
      <c r="W658" s="2487"/>
      <c r="X658" s="2487"/>
      <c r="Y658" s="2487"/>
      <c r="Z658" s="2487"/>
      <c r="AA658" s="2487"/>
      <c r="AB658" s="2487"/>
      <c r="AC658" s="2487"/>
      <c r="AD658" s="2487"/>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507</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0" t="s">
        <v>1397</v>
      </c>
      <c r="AG660" s="2470"/>
      <c r="AH660" s="2470"/>
      <c r="AI660" s="2470"/>
      <c r="AJ660" s="2470"/>
      <c r="AK660" s="2470"/>
      <c r="AL660" s="2470"/>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550" t="s">
        <v>589</v>
      </c>
      <c r="I663" s="2550"/>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495">
        <f>VLOOKUP(H663,AT618:AU620,2,FALSE)</f>
        <v>0</v>
      </c>
      <c r="AK665" s="2497"/>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685</v>
      </c>
      <c r="E670" s="2487" t="s">
        <v>1407</v>
      </c>
      <c r="F670" s="2487"/>
      <c r="G670" s="2487"/>
      <c r="H670" s="2487"/>
      <c r="I670" s="2487"/>
      <c r="J670" s="2487"/>
      <c r="K670" s="2487"/>
      <c r="L670" s="2487"/>
      <c r="M670" s="2487"/>
      <c r="N670" s="2487"/>
      <c r="O670" s="2487"/>
      <c r="P670" s="2487"/>
      <c r="Q670" s="2487"/>
      <c r="R670" s="2487"/>
      <c r="S670" s="2487"/>
      <c r="T670" s="2487"/>
      <c r="U670" s="2487"/>
      <c r="V670" s="2487"/>
      <c r="W670" s="2487"/>
      <c r="X670" s="2487"/>
      <c r="Y670" s="2487"/>
      <c r="Z670" s="2487"/>
      <c r="AA670" s="2487"/>
      <c r="AB670" s="2487"/>
      <c r="AC670" s="2487"/>
      <c r="AD670" s="532"/>
      <c r="AE670" s="532"/>
      <c r="AF670" s="2470" t="s">
        <v>1368</v>
      </c>
      <c r="AG670" s="2470"/>
      <c r="AH670" s="2470"/>
      <c r="AI670" s="2470"/>
      <c r="AJ670" s="2470"/>
      <c r="AK670" s="2470"/>
      <c r="AL670" s="2470"/>
      <c r="AN670" s="590"/>
    </row>
    <row r="671" spans="1:42" s="544" customFormat="1" ht="12.75" customHeight="1">
      <c r="B671" s="532"/>
      <c r="C671" s="535"/>
      <c r="D671" s="532"/>
      <c r="E671" s="2487"/>
      <c r="F671" s="2487"/>
      <c r="G671" s="2487"/>
      <c r="H671" s="2487"/>
      <c r="I671" s="2487"/>
      <c r="J671" s="2487"/>
      <c r="K671" s="2487"/>
      <c r="L671" s="2487"/>
      <c r="M671" s="2487"/>
      <c r="N671" s="2487"/>
      <c r="O671" s="2487"/>
      <c r="P671" s="2487"/>
      <c r="Q671" s="2487"/>
      <c r="R671" s="2487"/>
      <c r="S671" s="2487"/>
      <c r="T671" s="2487"/>
      <c r="U671" s="2487"/>
      <c r="V671" s="2487"/>
      <c r="W671" s="2487"/>
      <c r="X671" s="2487"/>
      <c r="Y671" s="2487"/>
      <c r="Z671" s="2487"/>
      <c r="AA671" s="2487"/>
      <c r="AB671" s="2487"/>
      <c r="AC671" s="2487"/>
      <c r="AD671" s="532"/>
      <c r="AE671" s="532"/>
      <c r="AF671" s="532"/>
      <c r="AG671" s="532"/>
      <c r="AH671" s="532"/>
      <c r="AI671" s="532"/>
      <c r="AJ671" s="532"/>
      <c r="AK671" s="532"/>
      <c r="AL671" s="532"/>
      <c r="AN671" s="590"/>
    </row>
    <row r="672" spans="1:42" s="544" customFormat="1" ht="12.75" customHeight="1">
      <c r="B672" s="532"/>
      <c r="C672" s="535"/>
      <c r="D672" s="654"/>
      <c r="E672" s="2487"/>
      <c r="F672" s="2487"/>
      <c r="G672" s="2487"/>
      <c r="H672" s="2487"/>
      <c r="I672" s="2487"/>
      <c r="J672" s="2487"/>
      <c r="K672" s="2487"/>
      <c r="L672" s="2487"/>
      <c r="M672" s="2487"/>
      <c r="N672" s="2487"/>
      <c r="O672" s="2487"/>
      <c r="P672" s="2487"/>
      <c r="Q672" s="2487"/>
      <c r="R672" s="2487"/>
      <c r="S672" s="2487"/>
      <c r="T672" s="2487"/>
      <c r="U672" s="2487"/>
      <c r="V672" s="2487"/>
      <c r="W672" s="2487"/>
      <c r="X672" s="2487"/>
      <c r="Y672" s="2487"/>
      <c r="Z672" s="2487"/>
      <c r="AA672" s="2487"/>
      <c r="AB672" s="2487"/>
      <c r="AC672" s="2487"/>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507</v>
      </c>
      <c r="E674" s="2487" t="s">
        <v>1408</v>
      </c>
      <c r="F674" s="2487"/>
      <c r="G674" s="2487"/>
      <c r="H674" s="2487"/>
      <c r="I674" s="2487"/>
      <c r="J674" s="2487"/>
      <c r="K674" s="2487"/>
      <c r="L674" s="2487"/>
      <c r="M674" s="2487"/>
      <c r="N674" s="2487"/>
      <c r="O674" s="2487"/>
      <c r="P674" s="2487"/>
      <c r="Q674" s="2487"/>
      <c r="R674" s="2487"/>
      <c r="S674" s="2487"/>
      <c r="T674" s="2487"/>
      <c r="U674" s="2487"/>
      <c r="V674" s="2487"/>
      <c r="W674" s="2487"/>
      <c r="X674" s="2487"/>
      <c r="Y674" s="2487"/>
      <c r="Z674" s="2487"/>
      <c r="AA674" s="2487"/>
      <c r="AB674" s="2487"/>
      <c r="AC674" s="2487"/>
      <c r="AD674" s="532"/>
      <c r="AE674" s="532"/>
      <c r="AF674" s="2470" t="s">
        <v>1388</v>
      </c>
      <c r="AG674" s="2470"/>
      <c r="AH674" s="2470"/>
      <c r="AI674" s="2470"/>
      <c r="AJ674" s="2470"/>
      <c r="AK674" s="2470"/>
      <c r="AL674" s="2470"/>
      <c r="AN674" s="590"/>
    </row>
    <row r="675" spans="1:42" s="544" customFormat="1" ht="12.75" customHeight="1">
      <c r="B675" s="532"/>
      <c r="C675" s="535"/>
      <c r="D675" s="532"/>
      <c r="E675" s="2487"/>
      <c r="F675" s="2487"/>
      <c r="G675" s="2487"/>
      <c r="H675" s="2487"/>
      <c r="I675" s="2487"/>
      <c r="J675" s="2487"/>
      <c r="K675" s="2487"/>
      <c r="L675" s="2487"/>
      <c r="M675" s="2487"/>
      <c r="N675" s="2487"/>
      <c r="O675" s="2487"/>
      <c r="P675" s="2487"/>
      <c r="Q675" s="2487"/>
      <c r="R675" s="2487"/>
      <c r="S675" s="2487"/>
      <c r="T675" s="2487"/>
      <c r="U675" s="2487"/>
      <c r="V675" s="2487"/>
      <c r="W675" s="2487"/>
      <c r="X675" s="2487"/>
      <c r="Y675" s="2487"/>
      <c r="Z675" s="2487"/>
      <c r="AA675" s="2487"/>
      <c r="AB675" s="2487"/>
      <c r="AC675" s="2487"/>
      <c r="AD675" s="532"/>
      <c r="AE675" s="532"/>
      <c r="AF675" s="532"/>
      <c r="AG675" s="532"/>
      <c r="AH675" s="532"/>
      <c r="AI675" s="532"/>
      <c r="AJ675" s="532"/>
      <c r="AK675" s="532"/>
      <c r="AL675" s="532"/>
      <c r="AN675" s="590"/>
    </row>
    <row r="676" spans="1:42" s="544" customFormat="1" ht="15" customHeight="1">
      <c r="B676" s="532"/>
      <c r="C676" s="535"/>
      <c r="D676" s="654"/>
      <c r="E676" s="2487"/>
      <c r="F676" s="2487"/>
      <c r="G676" s="2487"/>
      <c r="H676" s="2487"/>
      <c r="I676" s="2487"/>
      <c r="J676" s="2487"/>
      <c r="K676" s="2487"/>
      <c r="L676" s="2487"/>
      <c r="M676" s="2487"/>
      <c r="N676" s="2487"/>
      <c r="O676" s="2487"/>
      <c r="P676" s="2487"/>
      <c r="Q676" s="2487"/>
      <c r="R676" s="2487"/>
      <c r="S676" s="2487"/>
      <c r="T676" s="2487"/>
      <c r="U676" s="2487"/>
      <c r="V676" s="2487"/>
      <c r="W676" s="2487"/>
      <c r="X676" s="2487"/>
      <c r="Y676" s="2487"/>
      <c r="Z676" s="2487"/>
      <c r="AA676" s="2487"/>
      <c r="AB676" s="2487"/>
      <c r="AC676" s="2487"/>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87" t="s">
        <v>1409</v>
      </c>
      <c r="F678" s="2487"/>
      <c r="G678" s="2487"/>
      <c r="H678" s="2487"/>
      <c r="I678" s="2487"/>
      <c r="J678" s="2487"/>
      <c r="K678" s="2487"/>
      <c r="L678" s="2487"/>
      <c r="M678" s="2487"/>
      <c r="N678" s="2487"/>
      <c r="O678" s="2487"/>
      <c r="P678" s="2487"/>
      <c r="Q678" s="2487"/>
      <c r="R678" s="2487"/>
      <c r="S678" s="2487"/>
      <c r="T678" s="2487"/>
      <c r="U678" s="2487"/>
      <c r="V678" s="2487"/>
      <c r="W678" s="2487"/>
      <c r="X678" s="2487"/>
      <c r="Y678" s="2487"/>
      <c r="Z678" s="2487"/>
      <c r="AA678" s="2487"/>
      <c r="AB678" s="2487"/>
      <c r="AC678" s="2487"/>
      <c r="AD678" s="532"/>
      <c r="AE678" s="532"/>
      <c r="AF678" s="2470" t="s">
        <v>1343</v>
      </c>
      <c r="AG678" s="2470"/>
      <c r="AH678" s="2470"/>
      <c r="AI678" s="2470"/>
      <c r="AJ678" s="2470"/>
      <c r="AK678" s="2470"/>
      <c r="AL678" s="2470"/>
      <c r="AN678" s="590"/>
    </row>
    <row r="679" spans="1:42" s="544" customFormat="1" ht="12.75" customHeight="1">
      <c r="B679" s="532"/>
      <c r="C679" s="922"/>
      <c r="D679" s="532"/>
      <c r="E679" s="2487"/>
      <c r="F679" s="2487"/>
      <c r="G679" s="2487"/>
      <c r="H679" s="2487"/>
      <c r="I679" s="2487"/>
      <c r="J679" s="2487"/>
      <c r="K679" s="2487"/>
      <c r="L679" s="2487"/>
      <c r="M679" s="2487"/>
      <c r="N679" s="2487"/>
      <c r="O679" s="2487"/>
      <c r="P679" s="2487"/>
      <c r="Q679" s="2487"/>
      <c r="R679" s="2487"/>
      <c r="S679" s="2487"/>
      <c r="T679" s="2487"/>
      <c r="U679" s="2487"/>
      <c r="V679" s="2487"/>
      <c r="W679" s="2487"/>
      <c r="X679" s="2487"/>
      <c r="Y679" s="2487"/>
      <c r="Z679" s="2487"/>
      <c r="AA679" s="2487"/>
      <c r="AB679" s="2487"/>
      <c r="AC679" s="2487"/>
      <c r="AD679" s="532"/>
      <c r="AE679" s="2470"/>
      <c r="AF679" s="2470"/>
      <c r="AG679" s="2470"/>
      <c r="AH679" s="2470"/>
      <c r="AI679" s="2470"/>
      <c r="AJ679" s="2470"/>
      <c r="AK679" s="2470"/>
      <c r="AL679" s="587"/>
      <c r="AN679" s="590"/>
      <c r="AO679" s="544" t="s">
        <v>589</v>
      </c>
      <c r="AP679" s="664">
        <v>0</v>
      </c>
    </row>
    <row r="680" spans="1:42" s="544" customFormat="1" ht="12.75" customHeight="1">
      <c r="A680" s="670"/>
      <c r="B680" s="532"/>
      <c r="C680" s="532"/>
      <c r="D680" s="654"/>
      <c r="E680" s="2487"/>
      <c r="F680" s="2487"/>
      <c r="G680" s="2487"/>
      <c r="H680" s="2487"/>
      <c r="I680" s="2487"/>
      <c r="J680" s="2487"/>
      <c r="K680" s="2487"/>
      <c r="L680" s="2487"/>
      <c r="M680" s="2487"/>
      <c r="N680" s="2487"/>
      <c r="O680" s="2487"/>
      <c r="P680" s="2487"/>
      <c r="Q680" s="2487"/>
      <c r="R680" s="2487"/>
      <c r="S680" s="2487"/>
      <c r="T680" s="2487"/>
      <c r="U680" s="2487"/>
      <c r="V680" s="2487"/>
      <c r="W680" s="2487"/>
      <c r="X680" s="2487"/>
      <c r="Y680" s="2487"/>
      <c r="Z680" s="2487"/>
      <c r="AA680" s="2487"/>
      <c r="AB680" s="2487"/>
      <c r="AC680" s="2487"/>
      <c r="AD680" s="532"/>
      <c r="AE680" s="532"/>
      <c r="AF680" s="532"/>
      <c r="AG680" s="532"/>
      <c r="AH680" s="532"/>
      <c r="AI680" s="532"/>
      <c r="AJ680" s="532"/>
      <c r="AK680" s="532"/>
      <c r="AL680" s="532"/>
      <c r="AN680" s="590"/>
      <c r="AO680" s="604" t="s">
        <v>685</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507</v>
      </c>
      <c r="AP681" s="544">
        <v>2</v>
      </c>
    </row>
    <row r="682" spans="1:42" s="544" customFormat="1" ht="12.75" customHeight="1">
      <c r="A682" s="661"/>
      <c r="B682" s="532"/>
      <c r="C682" s="938"/>
      <c r="D682" s="654" t="s">
        <v>1386</v>
      </c>
      <c r="E682" s="2487" t="s">
        <v>1410</v>
      </c>
      <c r="F682" s="2487"/>
      <c r="G682" s="2487"/>
      <c r="H682" s="2487"/>
      <c r="I682" s="2487"/>
      <c r="J682" s="2487"/>
      <c r="K682" s="2487"/>
      <c r="L682" s="2487"/>
      <c r="M682" s="2487"/>
      <c r="N682" s="2487"/>
      <c r="O682" s="2487"/>
      <c r="P682" s="2487"/>
      <c r="Q682" s="2487"/>
      <c r="R682" s="2487"/>
      <c r="S682" s="2487"/>
      <c r="T682" s="2487"/>
      <c r="U682" s="2487"/>
      <c r="V682" s="2487"/>
      <c r="W682" s="2487"/>
      <c r="X682" s="2487"/>
      <c r="Y682" s="2487"/>
      <c r="Z682" s="2487"/>
      <c r="AA682" s="2487"/>
      <c r="AB682" s="2487"/>
      <c r="AC682" s="2487"/>
      <c r="AD682" s="532"/>
      <c r="AE682" s="532"/>
      <c r="AF682" s="2470" t="s">
        <v>1388</v>
      </c>
      <c r="AG682" s="2470"/>
      <c r="AH682" s="2470"/>
      <c r="AI682" s="2470"/>
      <c r="AJ682" s="2470"/>
      <c r="AK682" s="2470"/>
      <c r="AL682" s="2470"/>
      <c r="AN682" s="590"/>
    </row>
    <row r="683" spans="1:42" s="544" customFormat="1" ht="12.75" customHeight="1">
      <c r="A683" s="661"/>
      <c r="B683" s="532"/>
      <c r="C683" s="938"/>
      <c r="D683" s="654"/>
      <c r="E683" s="2487"/>
      <c r="F683" s="2487"/>
      <c r="G683" s="2487"/>
      <c r="H683" s="2487"/>
      <c r="I683" s="2487"/>
      <c r="J683" s="2487"/>
      <c r="K683" s="2487"/>
      <c r="L683" s="2487"/>
      <c r="M683" s="2487"/>
      <c r="N683" s="2487"/>
      <c r="O683" s="2487"/>
      <c r="P683" s="2487"/>
      <c r="Q683" s="2487"/>
      <c r="R683" s="2487"/>
      <c r="S683" s="2487"/>
      <c r="T683" s="2487"/>
      <c r="U683" s="2487"/>
      <c r="V683" s="2487"/>
      <c r="W683" s="2487"/>
      <c r="X683" s="2487"/>
      <c r="Y683" s="2487"/>
      <c r="Z683" s="2487"/>
      <c r="AA683" s="2487"/>
      <c r="AB683" s="2487"/>
      <c r="AC683" s="2487"/>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7"/>
      <c r="F684" s="2487"/>
      <c r="G684" s="2487"/>
      <c r="H684" s="2487"/>
      <c r="I684" s="2487"/>
      <c r="J684" s="2487"/>
      <c r="K684" s="2487"/>
      <c r="L684" s="2487"/>
      <c r="M684" s="2487"/>
      <c r="N684" s="2487"/>
      <c r="O684" s="2487"/>
      <c r="P684" s="2487"/>
      <c r="Q684" s="2487"/>
      <c r="R684" s="2487"/>
      <c r="S684" s="2487"/>
      <c r="T684" s="2487"/>
      <c r="U684" s="2487"/>
      <c r="V684" s="2487"/>
      <c r="W684" s="2487"/>
      <c r="X684" s="2487"/>
      <c r="Y684" s="2487"/>
      <c r="Z684" s="2487"/>
      <c r="AA684" s="2487"/>
      <c r="AB684" s="2487"/>
      <c r="AC684" s="2487"/>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87" t="s">
        <v>1411</v>
      </c>
      <c r="F686" s="2487"/>
      <c r="G686" s="2487"/>
      <c r="H686" s="2487"/>
      <c r="I686" s="2487"/>
      <c r="J686" s="2487"/>
      <c r="K686" s="2487"/>
      <c r="L686" s="2487"/>
      <c r="M686" s="2487"/>
      <c r="N686" s="2487"/>
      <c r="O686" s="2487"/>
      <c r="P686" s="2487"/>
      <c r="Q686" s="2487"/>
      <c r="R686" s="2487"/>
      <c r="S686" s="2487"/>
      <c r="T686" s="2487"/>
      <c r="U686" s="2487"/>
      <c r="V686" s="2487"/>
      <c r="W686" s="2487"/>
      <c r="X686" s="2487"/>
      <c r="Y686" s="2487"/>
      <c r="Z686" s="2487"/>
      <c r="AA686" s="2487"/>
      <c r="AB686" s="2487"/>
      <c r="AC686" s="2487"/>
      <c r="AD686" s="532"/>
      <c r="AE686" s="532"/>
      <c r="AF686" s="2470" t="s">
        <v>1343</v>
      </c>
      <c r="AG686" s="2470"/>
      <c r="AH686" s="2470"/>
      <c r="AI686" s="2470"/>
      <c r="AJ686" s="2470"/>
      <c r="AK686" s="2470"/>
      <c r="AL686" s="2470"/>
      <c r="AM686" s="589"/>
      <c r="AN686" s="590"/>
    </row>
    <row r="687" spans="1:42" s="544" customFormat="1" ht="12.75" customHeight="1">
      <c r="B687" s="532"/>
      <c r="C687" s="922"/>
      <c r="D687" s="654"/>
      <c r="E687" s="2487"/>
      <c r="F687" s="2487"/>
      <c r="G687" s="2487"/>
      <c r="H687" s="2487"/>
      <c r="I687" s="2487"/>
      <c r="J687" s="2487"/>
      <c r="K687" s="2487"/>
      <c r="L687" s="2487"/>
      <c r="M687" s="2487"/>
      <c r="N687" s="2487"/>
      <c r="O687" s="2487"/>
      <c r="P687" s="2487"/>
      <c r="Q687" s="2487"/>
      <c r="R687" s="2487"/>
      <c r="S687" s="2487"/>
      <c r="T687" s="2487"/>
      <c r="U687" s="2487"/>
      <c r="V687" s="2487"/>
      <c r="W687" s="2487"/>
      <c r="X687" s="2487"/>
      <c r="Y687" s="2487"/>
      <c r="Z687" s="2487"/>
      <c r="AA687" s="2487"/>
      <c r="AB687" s="2487"/>
      <c r="AC687" s="2487"/>
      <c r="AD687" s="532"/>
      <c r="AE687" s="532"/>
      <c r="AF687" s="532"/>
      <c r="AG687" s="532"/>
      <c r="AH687" s="532"/>
      <c r="AI687" s="532"/>
      <c r="AJ687" s="532"/>
      <c r="AK687" s="532"/>
      <c r="AL687" s="532"/>
      <c r="AM687" s="589"/>
      <c r="AN687" s="590"/>
    </row>
    <row r="688" spans="1:42" s="544" customFormat="1" ht="12.75" customHeight="1">
      <c r="B688" s="532"/>
      <c r="C688" s="922"/>
      <c r="D688" s="654"/>
      <c r="E688" s="2487"/>
      <c r="F688" s="2487"/>
      <c r="G688" s="2487"/>
      <c r="H688" s="2487"/>
      <c r="I688" s="2487"/>
      <c r="J688" s="2487"/>
      <c r="K688" s="2487"/>
      <c r="L688" s="2487"/>
      <c r="M688" s="2487"/>
      <c r="N688" s="2487"/>
      <c r="O688" s="2487"/>
      <c r="P688" s="2487"/>
      <c r="Q688" s="2487"/>
      <c r="R688" s="2487"/>
      <c r="S688" s="2487"/>
      <c r="T688" s="2487"/>
      <c r="U688" s="2487"/>
      <c r="V688" s="2487"/>
      <c r="W688" s="2487"/>
      <c r="X688" s="2487"/>
      <c r="Y688" s="2487"/>
      <c r="Z688" s="2487"/>
      <c r="AA688" s="2487"/>
      <c r="AB688" s="2487"/>
      <c r="AC688" s="2487"/>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87" t="s">
        <v>1412</v>
      </c>
      <c r="F690" s="2487"/>
      <c r="G690" s="2487"/>
      <c r="H690" s="2487"/>
      <c r="I690" s="2487"/>
      <c r="J690" s="2487"/>
      <c r="K690" s="2487"/>
      <c r="L690" s="2487"/>
      <c r="M690" s="2487"/>
      <c r="N690" s="2487"/>
      <c r="O690" s="2487"/>
      <c r="P690" s="2487"/>
      <c r="Q690" s="2487"/>
      <c r="R690" s="2487"/>
      <c r="S690" s="2487"/>
      <c r="T690" s="2487"/>
      <c r="U690" s="2487"/>
      <c r="V690" s="2487"/>
      <c r="W690" s="2487"/>
      <c r="X690" s="2487"/>
      <c r="Y690" s="2487"/>
      <c r="Z690" s="2487"/>
      <c r="AA690" s="2487"/>
      <c r="AB690" s="2487"/>
      <c r="AC690" s="2487"/>
      <c r="AD690" s="532"/>
      <c r="AE690" s="532"/>
      <c r="AF690" s="2470" t="s">
        <v>1397</v>
      </c>
      <c r="AG690" s="2470"/>
      <c r="AH690" s="2470"/>
      <c r="AI690" s="2470"/>
      <c r="AJ690" s="2470"/>
      <c r="AK690" s="2470"/>
      <c r="AL690" s="2470"/>
      <c r="AM690" s="589"/>
      <c r="AN690" s="590"/>
    </row>
    <row r="691" spans="1:50" s="544" customFormat="1" ht="12.75" customHeight="1">
      <c r="A691" s="670"/>
      <c r="B691" s="532"/>
      <c r="C691" s="922"/>
      <c r="D691" s="654"/>
      <c r="E691" s="2487"/>
      <c r="F691" s="2487"/>
      <c r="G691" s="2487"/>
      <c r="H691" s="2487"/>
      <c r="I691" s="2487"/>
      <c r="J691" s="2487"/>
      <c r="K691" s="2487"/>
      <c r="L691" s="2487"/>
      <c r="M691" s="2487"/>
      <c r="N691" s="2487"/>
      <c r="O691" s="2487"/>
      <c r="P691" s="2487"/>
      <c r="Q691" s="2487"/>
      <c r="R691" s="2487"/>
      <c r="S691" s="2487"/>
      <c r="T691" s="2487"/>
      <c r="U691" s="2487"/>
      <c r="V691" s="2487"/>
      <c r="W691" s="2487"/>
      <c r="X691" s="2487"/>
      <c r="Y691" s="2487"/>
      <c r="Z691" s="2487"/>
      <c r="AA691" s="2487"/>
      <c r="AB691" s="2487"/>
      <c r="AC691" s="2487"/>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7"/>
      <c r="F692" s="2487"/>
      <c r="G692" s="2487"/>
      <c r="H692" s="2487"/>
      <c r="I692" s="2487"/>
      <c r="J692" s="2487"/>
      <c r="K692" s="2487"/>
      <c r="L692" s="2487"/>
      <c r="M692" s="2487"/>
      <c r="N692" s="2487"/>
      <c r="O692" s="2487"/>
      <c r="P692" s="2487"/>
      <c r="Q692" s="2487"/>
      <c r="R692" s="2487"/>
      <c r="S692" s="2487"/>
      <c r="T692" s="2487"/>
      <c r="U692" s="2487"/>
      <c r="V692" s="2487"/>
      <c r="W692" s="2487"/>
      <c r="X692" s="2487"/>
      <c r="Y692" s="2487"/>
      <c r="Z692" s="2487"/>
      <c r="AA692" s="2487"/>
      <c r="AB692" s="2487"/>
      <c r="AC692" s="2487"/>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589</v>
      </c>
      <c r="AP693" s="630">
        <v>0</v>
      </c>
    </row>
    <row r="694" spans="1:50" s="544" customFormat="1" ht="12.75" customHeight="1">
      <c r="A694" s="670"/>
      <c r="B694" s="532"/>
      <c r="C694" s="922"/>
      <c r="D694" s="654" t="s">
        <v>1400</v>
      </c>
      <c r="E694" s="2487" t="s">
        <v>1413</v>
      </c>
      <c r="F694" s="2487"/>
      <c r="G694" s="2487"/>
      <c r="H694" s="2487"/>
      <c r="I694" s="2487"/>
      <c r="J694" s="2487"/>
      <c r="K694" s="2487"/>
      <c r="L694" s="2487"/>
      <c r="M694" s="2487"/>
      <c r="N694" s="2487"/>
      <c r="O694" s="2487"/>
      <c r="P694" s="2487"/>
      <c r="Q694" s="2487"/>
      <c r="R694" s="2487"/>
      <c r="S694" s="2487"/>
      <c r="T694" s="2487"/>
      <c r="U694" s="2487"/>
      <c r="V694" s="2487"/>
      <c r="W694" s="2487"/>
      <c r="X694" s="2487"/>
      <c r="Y694" s="2487"/>
      <c r="Z694" s="2487"/>
      <c r="AA694" s="2487"/>
      <c r="AB694" s="2487"/>
      <c r="AC694" s="2487"/>
      <c r="AD694" s="532"/>
      <c r="AE694" s="532"/>
      <c r="AF694" s="2470" t="s">
        <v>1414</v>
      </c>
      <c r="AG694" s="2470"/>
      <c r="AH694" s="2470"/>
      <c r="AI694" s="2470"/>
      <c r="AJ694" s="2470"/>
      <c r="AK694" s="2470"/>
      <c r="AL694" s="2470"/>
      <c r="AM694" s="589"/>
      <c r="AN694" s="590"/>
      <c r="AO694" s="604" t="s">
        <v>685</v>
      </c>
      <c r="AP694" s="544">
        <v>3</v>
      </c>
    </row>
    <row r="695" spans="1:50" s="544" customFormat="1" ht="12.75" customHeight="1">
      <c r="A695" s="670"/>
      <c r="B695" s="532"/>
      <c r="C695" s="922"/>
      <c r="D695" s="654"/>
      <c r="E695" s="2487"/>
      <c r="F695" s="2487"/>
      <c r="G695" s="2487"/>
      <c r="H695" s="2487"/>
      <c r="I695" s="2487"/>
      <c r="J695" s="2487"/>
      <c r="K695" s="2487"/>
      <c r="L695" s="2487"/>
      <c r="M695" s="2487"/>
      <c r="N695" s="2487"/>
      <c r="O695" s="2487"/>
      <c r="P695" s="2487"/>
      <c r="Q695" s="2487"/>
      <c r="R695" s="2487"/>
      <c r="S695" s="2487"/>
      <c r="T695" s="2487"/>
      <c r="U695" s="2487"/>
      <c r="V695" s="2487"/>
      <c r="W695" s="2487"/>
      <c r="X695" s="2487"/>
      <c r="Y695" s="2487"/>
      <c r="Z695" s="2487"/>
      <c r="AA695" s="2487"/>
      <c r="AB695" s="2487"/>
      <c r="AC695" s="2487"/>
      <c r="AD695" s="532"/>
      <c r="AE695" s="532"/>
      <c r="AF695" s="587"/>
      <c r="AG695" s="587"/>
      <c r="AH695" s="587"/>
      <c r="AI695" s="587"/>
      <c r="AJ695" s="587"/>
      <c r="AK695" s="587"/>
      <c r="AL695" s="587"/>
      <c r="AM695" s="589"/>
      <c r="AN695" s="590"/>
      <c r="AO695" s="604" t="s">
        <v>507</v>
      </c>
      <c r="AP695" s="544">
        <v>2</v>
      </c>
    </row>
    <row r="696" spans="1:50" s="544" customFormat="1" ht="12.75" customHeight="1">
      <c r="A696" s="670"/>
      <c r="B696" s="532"/>
      <c r="C696" s="922"/>
      <c r="D696" s="654"/>
      <c r="E696" s="2487"/>
      <c r="F696" s="2487"/>
      <c r="G696" s="2487"/>
      <c r="H696" s="2487"/>
      <c r="I696" s="2487"/>
      <c r="J696" s="2487"/>
      <c r="K696" s="2487"/>
      <c r="L696" s="2487"/>
      <c r="M696" s="2487"/>
      <c r="N696" s="2487"/>
      <c r="O696" s="2487"/>
      <c r="P696" s="2487"/>
      <c r="Q696" s="2487"/>
      <c r="R696" s="2487"/>
      <c r="S696" s="2487"/>
      <c r="T696" s="2487"/>
      <c r="U696" s="2487"/>
      <c r="V696" s="2487"/>
      <c r="W696" s="2487"/>
      <c r="X696" s="2487"/>
      <c r="Y696" s="2487"/>
      <c r="Z696" s="2487"/>
      <c r="AA696" s="2487"/>
      <c r="AB696" s="2487"/>
      <c r="AC696" s="2487"/>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550" t="s">
        <v>278</v>
      </c>
      <c r="I698" s="2550"/>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495">
        <f>VLOOKUP($H$698,$AO$646:$AP$653,2,FALSE)</f>
        <v>3</v>
      </c>
      <c r="AK700" s="2497"/>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112</v>
      </c>
    </row>
    <row r="704" spans="1:50" s="544" customFormat="1" ht="12.75" customHeight="1">
      <c r="A704" s="670"/>
      <c r="B704" s="532"/>
      <c r="C704" s="939"/>
      <c r="D704" s="654" t="s">
        <v>685</v>
      </c>
      <c r="E704" s="2557" t="s">
        <v>2136</v>
      </c>
      <c r="F704" s="2557"/>
      <c r="G704" s="2557"/>
      <c r="H704" s="2557"/>
      <c r="I704" s="2557"/>
      <c r="J704" s="2557"/>
      <c r="K704" s="2557"/>
      <c r="L704" s="2557"/>
      <c r="M704" s="2557"/>
      <c r="N704" s="2557"/>
      <c r="O704" s="2557"/>
      <c r="P704" s="2557"/>
      <c r="Q704" s="2557"/>
      <c r="R704" s="2557"/>
      <c r="S704" s="2557"/>
      <c r="T704" s="2557"/>
      <c r="U704" s="2557"/>
      <c r="V704" s="2557"/>
      <c r="W704" s="2557"/>
      <c r="X704" s="2557"/>
      <c r="Y704" s="2557"/>
      <c r="Z704" s="2557"/>
      <c r="AA704" s="2557"/>
      <c r="AB704" s="2557"/>
      <c r="AC704" s="532"/>
      <c r="AD704" s="532"/>
      <c r="AE704" s="532"/>
      <c r="AF704" s="2470" t="s">
        <v>1343</v>
      </c>
      <c r="AG704" s="2470"/>
      <c r="AH704" s="2470"/>
      <c r="AI704" s="2470"/>
      <c r="AJ704" s="2470"/>
      <c r="AK704" s="2470"/>
      <c r="AL704" s="2470"/>
      <c r="AN704" s="590"/>
      <c r="AW704" s="22" t="s">
        <v>2131</v>
      </c>
      <c r="AX704" s="544">
        <f>Application!DE761</f>
        <v>53</v>
      </c>
    </row>
    <row r="705" spans="1:53" s="544" customFormat="1" ht="12.75" customHeight="1">
      <c r="A705" s="670"/>
      <c r="B705" s="532"/>
      <c r="C705" s="939"/>
      <c r="D705" s="654"/>
      <c r="E705" s="2557"/>
      <c r="F705" s="2557"/>
      <c r="G705" s="2557"/>
      <c r="H705" s="2557"/>
      <c r="I705" s="2557"/>
      <c r="J705" s="2557"/>
      <c r="K705" s="2557"/>
      <c r="L705" s="2557"/>
      <c r="M705" s="2557"/>
      <c r="N705" s="2557"/>
      <c r="O705" s="2557"/>
      <c r="P705" s="2557"/>
      <c r="Q705" s="2557"/>
      <c r="R705" s="2557"/>
      <c r="S705" s="2557"/>
      <c r="T705" s="2557"/>
      <c r="U705" s="2557"/>
      <c r="V705" s="2557"/>
      <c r="W705" s="2557"/>
      <c r="X705" s="2557"/>
      <c r="Y705" s="2557"/>
      <c r="Z705" s="2557"/>
      <c r="AA705" s="2557"/>
      <c r="AB705" s="2557"/>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507</v>
      </c>
      <c r="E707" s="2487" t="s">
        <v>2081</v>
      </c>
      <c r="F707" s="2487"/>
      <c r="G707" s="2487"/>
      <c r="H707" s="2487"/>
      <c r="I707" s="2487"/>
      <c r="J707" s="2487"/>
      <c r="K707" s="2487"/>
      <c r="L707" s="2487"/>
      <c r="M707" s="2487"/>
      <c r="N707" s="2487"/>
      <c r="O707" s="2487"/>
      <c r="P707" s="2487"/>
      <c r="Q707" s="2487"/>
      <c r="R707" s="2487"/>
      <c r="S707" s="2487"/>
      <c r="T707" s="2487"/>
      <c r="U707" s="2487"/>
      <c r="V707" s="2487"/>
      <c r="W707" s="2487"/>
      <c r="X707" s="2487"/>
      <c r="Y707" s="2487"/>
      <c r="Z707" s="2487"/>
      <c r="AA707" s="2487"/>
      <c r="AB707" s="2487"/>
      <c r="AC707" s="532"/>
      <c r="AD707" s="532"/>
      <c r="AE707" s="532"/>
      <c r="AF707" s="2470" t="s">
        <v>1343</v>
      </c>
      <c r="AG707" s="2470"/>
      <c r="AH707" s="2470"/>
      <c r="AI707" s="2470"/>
      <c r="AJ707" s="2470"/>
      <c r="AK707" s="2470"/>
      <c r="AL707" s="2470"/>
      <c r="AN707" s="590"/>
      <c r="AW707" s="22" t="s">
        <v>2134</v>
      </c>
      <c r="AX707" s="544">
        <f>AX704+AX705+AX706</f>
        <v>53</v>
      </c>
    </row>
    <row r="708" spans="1:53" s="544" customFormat="1" ht="12.75" customHeight="1">
      <c r="B708" s="532"/>
      <c r="C708" s="931"/>
      <c r="D708" s="654"/>
      <c r="E708" s="2487"/>
      <c r="F708" s="2487"/>
      <c r="G708" s="2487"/>
      <c r="H708" s="2487"/>
      <c r="I708" s="2487"/>
      <c r="J708" s="2487"/>
      <c r="K708" s="2487"/>
      <c r="L708" s="2487"/>
      <c r="M708" s="2487"/>
      <c r="N708" s="2487"/>
      <c r="O708" s="2487"/>
      <c r="P708" s="2487"/>
      <c r="Q708" s="2487"/>
      <c r="R708" s="2487"/>
      <c r="S708" s="2487"/>
      <c r="T708" s="2487"/>
      <c r="U708" s="2487"/>
      <c r="V708" s="2487"/>
      <c r="W708" s="2487"/>
      <c r="X708" s="2487"/>
      <c r="Y708" s="2487"/>
      <c r="Z708" s="2487"/>
      <c r="AA708" s="2487"/>
      <c r="AB708" s="2487"/>
      <c r="AC708" s="532"/>
      <c r="AD708" s="532"/>
      <c r="AE708" s="609"/>
      <c r="AF708" s="532"/>
      <c r="AG708" s="532"/>
      <c r="AH708" s="532"/>
      <c r="AI708" s="532"/>
      <c r="AJ708" s="532"/>
      <c r="AK708" s="532"/>
      <c r="AL708" s="532"/>
      <c r="AN708" s="590"/>
      <c r="AO708" s="2556" t="b">
        <f>IF(Application!D211="Special Needs",IF(AY708&gt;=0.25,TRUE,FALSE),IF(AX708&gt;=0.25,TRUE,FALSE))</f>
        <v>1</v>
      </c>
      <c r="AP708" s="2556"/>
      <c r="AW708" s="22" t="s">
        <v>2135</v>
      </c>
      <c r="AX708" s="544">
        <f>IFERROR(AX707/AX703,0)</f>
        <v>0.4732142857142857</v>
      </c>
      <c r="AY708" s="544">
        <f>IFERROR(AX707/(AX703-AX702),0)</f>
        <v>0.4732142857142857</v>
      </c>
    </row>
    <row r="709" spans="1:53" s="544" customFormat="1" ht="12.75" customHeight="1">
      <c r="B709" s="532"/>
      <c r="C709" s="931"/>
      <c r="E709" s="2487"/>
      <c r="F709" s="2487"/>
      <c r="G709" s="2487"/>
      <c r="H709" s="2487"/>
      <c r="I709" s="2487"/>
      <c r="J709" s="2487"/>
      <c r="K709" s="2487"/>
      <c r="L709" s="2487"/>
      <c r="M709" s="2487"/>
      <c r="N709" s="2487"/>
      <c r="O709" s="2487"/>
      <c r="P709" s="2487"/>
      <c r="Q709" s="2487"/>
      <c r="R709" s="2487"/>
      <c r="S709" s="2487"/>
      <c r="T709" s="2487"/>
      <c r="U709" s="2487"/>
      <c r="V709" s="2487"/>
      <c r="W709" s="2487"/>
      <c r="X709" s="2487"/>
      <c r="Y709" s="2487"/>
      <c r="Z709" s="2487"/>
      <c r="AA709" s="2487"/>
      <c r="AB709" s="2487"/>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7"/>
      <c r="F710" s="2487"/>
      <c r="G710" s="2487"/>
      <c r="H710" s="2487"/>
      <c r="I710" s="2487"/>
      <c r="J710" s="2487"/>
      <c r="K710" s="2487"/>
      <c r="L710" s="2487"/>
      <c r="M710" s="2487"/>
      <c r="N710" s="2487"/>
      <c r="O710" s="2487"/>
      <c r="P710" s="2487"/>
      <c r="Q710" s="2487"/>
      <c r="R710" s="2487"/>
      <c r="S710" s="2487"/>
      <c r="T710" s="2487"/>
      <c r="U710" s="2487"/>
      <c r="V710" s="2487"/>
      <c r="W710" s="2487"/>
      <c r="X710" s="2487"/>
      <c r="Y710" s="2487"/>
      <c r="Z710" s="2487"/>
      <c r="AA710" s="2487"/>
      <c r="AB710" s="2487"/>
      <c r="AC710" s="532"/>
      <c r="AD710" s="532"/>
      <c r="AE710" s="609"/>
      <c r="AF710" s="609"/>
      <c r="AG710" s="609"/>
      <c r="AH710" s="609"/>
      <c r="AI710" s="609"/>
      <c r="AJ710" s="609"/>
      <c r="AK710" s="609"/>
      <c r="AL710" s="609"/>
      <c r="AN710" s="590"/>
      <c r="AO710" s="544" t="s">
        <v>589</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685</v>
      </c>
      <c r="AP711" s="544">
        <v>2</v>
      </c>
    </row>
    <row r="712" spans="1:53" s="544" customFormat="1" ht="12.75" customHeight="1">
      <c r="B712" s="532"/>
      <c r="C712" s="922"/>
      <c r="D712" s="654" t="s">
        <v>278</v>
      </c>
      <c r="E712" s="2487" t="s">
        <v>2082</v>
      </c>
      <c r="F712" s="2487"/>
      <c r="G712" s="2487"/>
      <c r="H712" s="2487"/>
      <c r="I712" s="2487"/>
      <c r="J712" s="2487"/>
      <c r="K712" s="2487"/>
      <c r="L712" s="2487"/>
      <c r="M712" s="2487"/>
      <c r="N712" s="2487"/>
      <c r="O712" s="2487"/>
      <c r="P712" s="2487"/>
      <c r="Q712" s="2487"/>
      <c r="R712" s="2487"/>
      <c r="S712" s="2487"/>
      <c r="T712" s="2487"/>
      <c r="U712" s="2487"/>
      <c r="V712" s="2487"/>
      <c r="W712" s="2487"/>
      <c r="X712" s="2487"/>
      <c r="Y712" s="2487"/>
      <c r="Z712" s="2487"/>
      <c r="AA712" s="2487"/>
      <c r="AB712" s="2487"/>
      <c r="AC712" s="532"/>
      <c r="AD712" s="532"/>
      <c r="AE712" s="532"/>
      <c r="AF712" s="2470" t="s">
        <v>1397</v>
      </c>
      <c r="AG712" s="2470"/>
      <c r="AH712" s="2470"/>
      <c r="AI712" s="2470"/>
      <c r="AJ712" s="2470"/>
      <c r="AK712" s="2470"/>
      <c r="AL712" s="2470"/>
      <c r="AN712" s="590"/>
      <c r="AO712" s="604" t="s">
        <v>507</v>
      </c>
      <c r="AP712" s="544">
        <v>1</v>
      </c>
    </row>
    <row r="713" spans="1:53" s="544" customFormat="1" ht="12" customHeight="1">
      <c r="B713" s="532"/>
      <c r="C713" s="922"/>
      <c r="E713" s="2487"/>
      <c r="F713" s="2487"/>
      <c r="G713" s="2487"/>
      <c r="H713" s="2487"/>
      <c r="I713" s="2487"/>
      <c r="J713" s="2487"/>
      <c r="K713" s="2487"/>
      <c r="L713" s="2487"/>
      <c r="M713" s="2487"/>
      <c r="N713" s="2487"/>
      <c r="O713" s="2487"/>
      <c r="P713" s="2487"/>
      <c r="Q713" s="2487"/>
      <c r="R713" s="2487"/>
      <c r="S713" s="2487"/>
      <c r="T713" s="2487"/>
      <c r="U713" s="2487"/>
      <c r="V713" s="2487"/>
      <c r="W713" s="2487"/>
      <c r="X713" s="2487"/>
      <c r="Y713" s="2487"/>
      <c r="Z713" s="2487"/>
      <c r="AA713" s="2487"/>
      <c r="AB713" s="2487"/>
      <c r="AC713" s="532"/>
      <c r="AD713" s="532"/>
      <c r="AE713" s="609"/>
      <c r="AF713" s="532"/>
      <c r="AG713" s="532"/>
      <c r="AH713" s="532"/>
      <c r="AI713" s="532"/>
      <c r="AJ713" s="532"/>
      <c r="AK713" s="532"/>
      <c r="AL713" s="532"/>
      <c r="AN713" s="590"/>
    </row>
    <row r="714" spans="1:53" s="544" customFormat="1" ht="12" customHeight="1">
      <c r="B714" s="532"/>
      <c r="C714" s="922"/>
      <c r="D714" s="532"/>
      <c r="E714" s="2487"/>
      <c r="F714" s="2487"/>
      <c r="G714" s="2487"/>
      <c r="H714" s="2487"/>
      <c r="I714" s="2487"/>
      <c r="J714" s="2487"/>
      <c r="K714" s="2487"/>
      <c r="L714" s="2487"/>
      <c r="M714" s="2487"/>
      <c r="N714" s="2487"/>
      <c r="O714" s="2487"/>
      <c r="P714" s="2487"/>
      <c r="Q714" s="2487"/>
      <c r="R714" s="2487"/>
      <c r="S714" s="2487"/>
      <c r="T714" s="2487"/>
      <c r="U714" s="2487"/>
      <c r="V714" s="2487"/>
      <c r="W714" s="2487"/>
      <c r="X714" s="2487"/>
      <c r="Y714" s="2487"/>
      <c r="Z714" s="2487"/>
      <c r="AA714" s="2487"/>
      <c r="AB714" s="2487"/>
      <c r="AC714" s="532"/>
      <c r="AD714" s="532"/>
      <c r="AE714" s="609"/>
      <c r="AF714" s="532"/>
      <c r="AG714" s="532"/>
      <c r="AH714" s="532"/>
      <c r="AI714" s="532"/>
      <c r="AJ714" s="532"/>
      <c r="AK714" s="532"/>
      <c r="AL714" s="532"/>
      <c r="AN714" s="590"/>
    </row>
    <row r="715" spans="1:53" s="544" customFormat="1" ht="12" customHeight="1">
      <c r="B715" s="532"/>
      <c r="C715" s="922"/>
      <c r="D715" s="532"/>
      <c r="E715" s="2487"/>
      <c r="F715" s="2487"/>
      <c r="G715" s="2487"/>
      <c r="H715" s="2487"/>
      <c r="I715" s="2487"/>
      <c r="J715" s="2487"/>
      <c r="K715" s="2487"/>
      <c r="L715" s="2487"/>
      <c r="M715" s="2487"/>
      <c r="N715" s="2487"/>
      <c r="O715" s="2487"/>
      <c r="P715" s="2487"/>
      <c r="Q715" s="2487"/>
      <c r="R715" s="2487"/>
      <c r="S715" s="2487"/>
      <c r="T715" s="2487"/>
      <c r="U715" s="2487"/>
      <c r="V715" s="2487"/>
      <c r="W715" s="2487"/>
      <c r="X715" s="2487"/>
      <c r="Y715" s="2487"/>
      <c r="Z715" s="2487"/>
      <c r="AA715" s="2487"/>
      <c r="AB715" s="2487"/>
      <c r="AC715" s="532"/>
      <c r="AD715" s="532"/>
      <c r="AE715" s="609"/>
      <c r="AF715" s="532"/>
      <c r="AG715" s="532"/>
      <c r="AH715" s="532"/>
      <c r="AI715" s="532"/>
      <c r="AJ715" s="532"/>
      <c r="AK715" s="532"/>
      <c r="AL715" s="532"/>
      <c r="AN715" s="590"/>
    </row>
    <row r="716" spans="1:53" s="563" customFormat="1" ht="12.9" customHeight="1">
      <c r="A716" s="544"/>
      <c r="B716" s="532"/>
      <c r="C716" s="922"/>
      <c r="D716" s="532"/>
      <c r="E716" s="2487"/>
      <c r="F716" s="2487"/>
      <c r="G716" s="2487"/>
      <c r="H716" s="2487"/>
      <c r="I716" s="2487"/>
      <c r="J716" s="2487"/>
      <c r="K716" s="2487"/>
      <c r="L716" s="2487"/>
      <c r="M716" s="2487"/>
      <c r="N716" s="2487"/>
      <c r="O716" s="2487"/>
      <c r="P716" s="2487"/>
      <c r="Q716" s="2487"/>
      <c r="R716" s="2487"/>
      <c r="S716" s="2487"/>
      <c r="T716" s="2487"/>
      <c r="U716" s="2487"/>
      <c r="V716" s="2487"/>
      <c r="W716" s="2487"/>
      <c r="X716" s="2487"/>
      <c r="Y716" s="2487"/>
      <c r="Z716" s="2487"/>
      <c r="AA716" s="2487"/>
      <c r="AB716" s="2487"/>
      <c r="AC716" s="532"/>
      <c r="AD716" s="532"/>
      <c r="AE716" s="609"/>
      <c r="AF716" s="609"/>
      <c r="AG716" s="609"/>
      <c r="AH716" s="609"/>
      <c r="AI716" s="609"/>
      <c r="AJ716" s="532"/>
      <c r="AK716" s="532"/>
      <c r="AL716" s="532"/>
      <c r="AM716" s="544"/>
      <c r="AN716" s="675"/>
      <c r="AO716" s="544" t="s">
        <v>589</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685</v>
      </c>
      <c r="AP717" s="544">
        <v>3</v>
      </c>
    </row>
    <row r="718" spans="1:53" customFormat="1" ht="12.75" customHeight="1">
      <c r="A718" s="22"/>
      <c r="B718" s="3"/>
      <c r="C718" s="36"/>
      <c r="D718" s="17" t="s">
        <v>1386</v>
      </c>
      <c r="E718" s="1393" t="s">
        <v>2632</v>
      </c>
      <c r="F718" s="1393"/>
      <c r="G718" s="1393"/>
      <c r="H718" s="1393"/>
      <c r="I718" s="1393"/>
      <c r="J718" s="1393"/>
      <c r="K718" s="1393"/>
      <c r="L718" s="1393"/>
      <c r="M718" s="1393"/>
      <c r="N718" s="1393"/>
      <c r="O718" s="1393"/>
      <c r="P718" s="1393"/>
      <c r="Q718" s="1393"/>
      <c r="R718" s="1393"/>
      <c r="S718" s="1393"/>
      <c r="T718" s="1393"/>
      <c r="U718" s="1393"/>
      <c r="V718" s="1393"/>
      <c r="W718" s="1393"/>
      <c r="X718" s="1393"/>
      <c r="Y718" s="1393"/>
      <c r="Z718" s="1393"/>
      <c r="AA718" s="1393"/>
      <c r="AB718" s="1393"/>
      <c r="AC718" s="22"/>
      <c r="AD718" s="3"/>
      <c r="AE718" s="22"/>
      <c r="AF718" s="1525" t="s">
        <v>1397</v>
      </c>
      <c r="AG718" s="1525"/>
      <c r="AH718" s="1525"/>
      <c r="AI718" s="1525"/>
      <c r="AJ718" s="1525"/>
      <c r="AK718" s="1525"/>
      <c r="AL718" s="1525"/>
      <c r="AM718" s="22"/>
      <c r="AN718" s="114"/>
      <c r="AO718" s="604" t="s">
        <v>507</v>
      </c>
      <c r="AP718" s="544">
        <f>3*$AO$708</f>
        <v>3</v>
      </c>
      <c r="AY718" s="14"/>
      <c r="AZ718" s="14"/>
      <c r="BA718" s="14"/>
    </row>
    <row r="719" spans="1:53" customFormat="1" ht="12.75" customHeight="1">
      <c r="A719" s="22"/>
      <c r="B719" s="3"/>
      <c r="C719" s="36"/>
      <c r="D719" s="17"/>
      <c r="E719" s="1393"/>
      <c r="F719" s="1393"/>
      <c r="G719" s="1393"/>
      <c r="H719" s="1393"/>
      <c r="I719" s="1393"/>
      <c r="J719" s="1393"/>
      <c r="K719" s="1393"/>
      <c r="L719" s="1393"/>
      <c r="M719" s="1393"/>
      <c r="N719" s="1393"/>
      <c r="O719" s="1393"/>
      <c r="P719" s="1393"/>
      <c r="Q719" s="1393"/>
      <c r="R719" s="1393"/>
      <c r="S719" s="1393"/>
      <c r="T719" s="1393"/>
      <c r="U719" s="1393"/>
      <c r="V719" s="1393"/>
      <c r="W719" s="1393"/>
      <c r="X719" s="1393"/>
      <c r="Y719" s="1393"/>
      <c r="Z719" s="1393"/>
      <c r="AA719" s="1393"/>
      <c r="AB719" s="1393"/>
      <c r="AC719" s="22"/>
      <c r="AD719" s="3"/>
      <c r="AE719" s="22"/>
      <c r="AF719" s="1525"/>
      <c r="AG719" s="1525"/>
      <c r="AH719" s="1525"/>
      <c r="AI719" s="1525"/>
      <c r="AJ719" s="1525"/>
      <c r="AK719" s="1525"/>
      <c r="AL719" s="1525"/>
      <c r="AM719" s="22"/>
      <c r="AN719" s="114"/>
      <c r="AO719" s="604" t="s">
        <v>278</v>
      </c>
      <c r="AP719" s="544">
        <f>2*$AO$708</f>
        <v>2</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87" t="s">
        <v>1679</v>
      </c>
      <c r="F721" s="2487"/>
      <c r="G721" s="2487"/>
      <c r="H721" s="2487"/>
      <c r="I721" s="2487"/>
      <c r="J721" s="2487"/>
      <c r="K721" s="2487"/>
      <c r="L721" s="2487"/>
      <c r="M721" s="2487"/>
      <c r="N721" s="2487"/>
      <c r="O721" s="2487"/>
      <c r="P721" s="2487"/>
      <c r="Q721" s="2487"/>
      <c r="R721" s="2487"/>
      <c r="S721" s="2487"/>
      <c r="T721" s="2487"/>
      <c r="U721" s="2487"/>
      <c r="V721" s="2487"/>
      <c r="W721" s="2487"/>
      <c r="X721" s="2487"/>
      <c r="Y721" s="2487"/>
      <c r="Z721" s="2487"/>
      <c r="AA721" s="2487"/>
      <c r="AB721" s="2487"/>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7"/>
      <c r="F722" s="2487"/>
      <c r="G722" s="2487"/>
      <c r="H722" s="2487"/>
      <c r="I722" s="2487"/>
      <c r="J722" s="2487"/>
      <c r="K722" s="2487"/>
      <c r="L722" s="2487"/>
      <c r="M722" s="2487"/>
      <c r="N722" s="2487"/>
      <c r="O722" s="2487"/>
      <c r="P722" s="2487"/>
      <c r="Q722" s="2487"/>
      <c r="R722" s="2487"/>
      <c r="S722" s="2487"/>
      <c r="T722" s="2487"/>
      <c r="U722" s="2487"/>
      <c r="V722" s="2487"/>
      <c r="W722" s="2487"/>
      <c r="X722" s="2487"/>
      <c r="Y722" s="2487"/>
      <c r="Z722" s="2487"/>
      <c r="AA722" s="2487"/>
      <c r="AB722" s="2487"/>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7"/>
      <c r="F723" s="2487"/>
      <c r="G723" s="2487"/>
      <c r="H723" s="2487"/>
      <c r="I723" s="2487"/>
      <c r="J723" s="2487"/>
      <c r="K723" s="2487"/>
      <c r="L723" s="2487"/>
      <c r="M723" s="2487"/>
      <c r="N723" s="2487"/>
      <c r="O723" s="2487"/>
      <c r="P723" s="2487"/>
      <c r="Q723" s="2487"/>
      <c r="R723" s="2487"/>
      <c r="S723" s="2487"/>
      <c r="T723" s="2487"/>
      <c r="U723" s="2487"/>
      <c r="V723" s="2487"/>
      <c r="W723" s="2487"/>
      <c r="X723" s="2487"/>
      <c r="Y723" s="2487"/>
      <c r="Z723" s="2487"/>
      <c r="AA723" s="2487"/>
      <c r="AB723" s="2487"/>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550" t="s">
        <v>685</v>
      </c>
      <c r="I725" s="2550"/>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495">
        <f>VLOOKUP($H$725,$AO$716:$AP$720,2,FALSE)</f>
        <v>3</v>
      </c>
      <c r="AK727" s="2497"/>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685</v>
      </c>
      <c r="E731" s="2558" t="s">
        <v>1681</v>
      </c>
      <c r="F731" s="2558"/>
      <c r="G731" s="2558"/>
      <c r="H731" s="2558"/>
      <c r="I731" s="2558"/>
      <c r="J731" s="2558"/>
      <c r="K731" s="2558"/>
      <c r="L731" s="2558"/>
      <c r="M731" s="2558"/>
      <c r="N731" s="2558"/>
      <c r="O731" s="2558"/>
      <c r="P731" s="2558"/>
      <c r="Q731" s="2558"/>
      <c r="R731" s="2558"/>
      <c r="S731" s="2558"/>
      <c r="T731" s="2558"/>
      <c r="U731" s="2558"/>
      <c r="V731" s="2558"/>
      <c r="W731" s="2558"/>
      <c r="X731" s="2558"/>
      <c r="Y731" s="2558"/>
      <c r="Z731" s="2558"/>
      <c r="AA731" s="2558"/>
      <c r="AB731" s="2558"/>
      <c r="AC731" s="532"/>
      <c r="AD731" s="532"/>
      <c r="AE731" s="532"/>
      <c r="AF731" s="2470" t="s">
        <v>1343</v>
      </c>
      <c r="AG731" s="2470"/>
      <c r="AH731" s="2470"/>
      <c r="AI731" s="2470"/>
      <c r="AJ731" s="2470"/>
      <c r="AK731" s="2470"/>
      <c r="AL731" s="2470"/>
      <c r="AM731" s="544"/>
      <c r="AN731" s="675"/>
      <c r="AP731" s="563" t="s">
        <v>1421</v>
      </c>
    </row>
    <row r="732" spans="1:43" s="563" customFormat="1" ht="11.85" customHeight="1">
      <c r="A732" s="544"/>
      <c r="B732" s="532"/>
      <c r="C732" s="924"/>
      <c r="D732" s="654"/>
      <c r="E732" s="2558"/>
      <c r="F732" s="2558"/>
      <c r="G732" s="2558"/>
      <c r="H732" s="2558"/>
      <c r="I732" s="2558"/>
      <c r="J732" s="2558"/>
      <c r="K732" s="2558"/>
      <c r="L732" s="2558"/>
      <c r="M732" s="2558"/>
      <c r="N732" s="2558"/>
      <c r="O732" s="2558"/>
      <c r="P732" s="2558"/>
      <c r="Q732" s="2558"/>
      <c r="R732" s="2558"/>
      <c r="S732" s="2558"/>
      <c r="T732" s="2558"/>
      <c r="U732" s="2558"/>
      <c r="V732" s="2558"/>
      <c r="W732" s="2558"/>
      <c r="X732" s="2558"/>
      <c r="Y732" s="2558"/>
      <c r="Z732" s="2558"/>
      <c r="AA732" s="2558"/>
      <c r="AB732" s="2558"/>
      <c r="AC732" s="532"/>
      <c r="AD732" s="532"/>
      <c r="AE732" s="532"/>
      <c r="AF732" s="532"/>
      <c r="AG732" s="532"/>
      <c r="AH732" s="532"/>
      <c r="AI732" s="532"/>
      <c r="AJ732" s="532"/>
      <c r="AK732" s="532"/>
      <c r="AL732" s="532"/>
      <c r="AM732" s="544"/>
      <c r="AN732" s="675"/>
      <c r="AP732" s="563" t="s">
        <v>1422</v>
      </c>
    </row>
    <row r="733" spans="1:43" s="563" customFormat="1" ht="13.95" customHeight="1">
      <c r="A733" s="544"/>
      <c r="B733" s="603"/>
      <c r="C733" s="922"/>
      <c r="D733" s="654"/>
      <c r="E733" s="2558"/>
      <c r="F733" s="2558"/>
      <c r="G733" s="2558"/>
      <c r="H733" s="2558"/>
      <c r="I733" s="2558"/>
      <c r="J733" s="2558"/>
      <c r="K733" s="2558"/>
      <c r="L733" s="2558"/>
      <c r="M733" s="2558"/>
      <c r="N733" s="2558"/>
      <c r="O733" s="2558"/>
      <c r="P733" s="2558"/>
      <c r="Q733" s="2558"/>
      <c r="R733" s="2558"/>
      <c r="S733" s="2558"/>
      <c r="T733" s="2558"/>
      <c r="U733" s="2558"/>
      <c r="V733" s="2558"/>
      <c r="W733" s="2558"/>
      <c r="X733" s="2558"/>
      <c r="Y733" s="2558"/>
      <c r="Z733" s="2558"/>
      <c r="AA733" s="2558"/>
      <c r="AB733" s="2558"/>
      <c r="AC733" s="532"/>
      <c r="AD733" s="532"/>
      <c r="AE733" s="609"/>
      <c r="AF733" s="532"/>
      <c r="AG733" s="532"/>
      <c r="AH733" s="532"/>
      <c r="AI733" s="532"/>
      <c r="AJ733" s="532"/>
      <c r="AK733" s="532"/>
      <c r="AL733" s="532"/>
      <c r="AM733" s="544"/>
      <c r="AN733" s="675"/>
      <c r="AP733" s="563" t="s">
        <v>1423</v>
      </c>
    </row>
    <row r="734" spans="1:43" s="563" customFormat="1" ht="13.95"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5" customHeight="1">
      <c r="A735" s="544"/>
      <c r="B735" s="532"/>
      <c r="C735" s="922"/>
      <c r="D735" s="654" t="s">
        <v>507</v>
      </c>
      <c r="E735" s="2559" t="s">
        <v>1424</v>
      </c>
      <c r="F735" s="2559"/>
      <c r="G735" s="2559"/>
      <c r="H735" s="2559"/>
      <c r="I735" s="2559"/>
      <c r="J735" s="2559"/>
      <c r="K735" s="2559"/>
      <c r="L735" s="2559"/>
      <c r="M735" s="2559"/>
      <c r="N735" s="2559"/>
      <c r="O735" s="2559"/>
      <c r="P735" s="2559"/>
      <c r="Q735" s="2559"/>
      <c r="R735" s="2559"/>
      <c r="S735" s="2559"/>
      <c r="T735" s="2559"/>
      <c r="U735" s="2559"/>
      <c r="V735" s="2559"/>
      <c r="W735" s="2559"/>
      <c r="X735" s="2559"/>
      <c r="Y735" s="2559"/>
      <c r="Z735" s="2559"/>
      <c r="AA735" s="2559"/>
      <c r="AB735" s="2559"/>
      <c r="AC735" s="532"/>
      <c r="AD735" s="532"/>
      <c r="AE735" s="532"/>
      <c r="AF735" s="2470" t="s">
        <v>1397</v>
      </c>
      <c r="AG735" s="2470"/>
      <c r="AH735" s="2470"/>
      <c r="AI735" s="2470"/>
      <c r="AJ735" s="2470"/>
      <c r="AK735" s="2470"/>
      <c r="AL735" s="2470"/>
      <c r="AM735" s="544"/>
      <c r="AN735" s="676"/>
    </row>
    <row r="736" spans="1:43" s="563" customFormat="1" ht="12.75" customHeight="1">
      <c r="A736" s="544"/>
      <c r="B736" s="532"/>
      <c r="C736" s="924"/>
      <c r="D736" s="532"/>
      <c r="E736" s="2559"/>
      <c r="F736" s="2559"/>
      <c r="G736" s="2559"/>
      <c r="H736" s="2559"/>
      <c r="I736" s="2559"/>
      <c r="J736" s="2559"/>
      <c r="K736" s="2559"/>
      <c r="L736" s="2559"/>
      <c r="M736" s="2559"/>
      <c r="N736" s="2559"/>
      <c r="O736" s="2559"/>
      <c r="P736" s="2559"/>
      <c r="Q736" s="2559"/>
      <c r="R736" s="2559"/>
      <c r="S736" s="2559"/>
      <c r="T736" s="2559"/>
      <c r="U736" s="2559"/>
      <c r="V736" s="2559"/>
      <c r="W736" s="2559"/>
      <c r="X736" s="2559"/>
      <c r="Y736" s="2559"/>
      <c r="Z736" s="2559"/>
      <c r="AA736" s="2559"/>
      <c r="AB736" s="2559"/>
      <c r="AC736" s="532"/>
      <c r="AD736" s="532"/>
      <c r="AE736" s="532"/>
      <c r="AF736" s="532"/>
      <c r="AG736" s="532"/>
      <c r="AH736" s="532"/>
      <c r="AI736" s="532"/>
      <c r="AJ736" s="532"/>
      <c r="AK736" s="532"/>
      <c r="AL736" s="532"/>
      <c r="AM736" s="544"/>
      <c r="AN736" s="675"/>
      <c r="AP736" s="544" t="s">
        <v>589</v>
      </c>
      <c r="AQ736" s="664">
        <v>0</v>
      </c>
    </row>
    <row r="737" spans="1:81" s="563" customFormat="1" ht="13.95" customHeight="1">
      <c r="A737" s="544"/>
      <c r="B737" s="532"/>
      <c r="C737" s="924"/>
      <c r="D737" s="532"/>
      <c r="E737" s="2559"/>
      <c r="F737" s="2559"/>
      <c r="G737" s="2559"/>
      <c r="H737" s="2559"/>
      <c r="I737" s="2559"/>
      <c r="J737" s="2559"/>
      <c r="K737" s="2559"/>
      <c r="L737" s="2559"/>
      <c r="M737" s="2559"/>
      <c r="N737" s="2559"/>
      <c r="O737" s="2559"/>
      <c r="P737" s="2559"/>
      <c r="Q737" s="2559"/>
      <c r="R737" s="2559"/>
      <c r="S737" s="2559"/>
      <c r="T737" s="2559"/>
      <c r="U737" s="2559"/>
      <c r="V737" s="2559"/>
      <c r="W737" s="2559"/>
      <c r="X737" s="2559"/>
      <c r="Y737" s="2559"/>
      <c r="Z737" s="2559"/>
      <c r="AA737" s="2559"/>
      <c r="AB737" s="2559"/>
      <c r="AC737" s="532"/>
      <c r="AD737" s="532"/>
      <c r="AE737" s="532"/>
      <c r="AF737" s="532"/>
      <c r="AG737" s="532"/>
      <c r="AH737" s="532"/>
      <c r="AI737" s="532"/>
      <c r="AJ737" s="532"/>
      <c r="AK737" s="532"/>
      <c r="AL737" s="532"/>
      <c r="AM737" s="544"/>
      <c r="AN737" s="675"/>
      <c r="AP737" s="604" t="s">
        <v>685</v>
      </c>
      <c r="AQ737" s="544">
        <v>3</v>
      </c>
    </row>
    <row r="738" spans="1:81" s="563" customFormat="1" ht="13.95"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507</v>
      </c>
      <c r="AQ738" s="544">
        <v>2</v>
      </c>
    </row>
    <row r="739" spans="1:81" s="563" customFormat="1" ht="13.95" customHeight="1">
      <c r="A739" s="544"/>
      <c r="B739" s="532"/>
      <c r="C739" s="924"/>
      <c r="D739" s="532" t="s">
        <v>1389</v>
      </c>
      <c r="E739" s="927"/>
      <c r="F739" s="927"/>
      <c r="G739" s="927"/>
      <c r="H739" s="2550" t="s">
        <v>589</v>
      </c>
      <c r="I739" s="2550"/>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495">
        <f>VLOOKUP($H$739,$AP$736:$AQ$738,2,FALSE)</f>
        <v>0</v>
      </c>
      <c r="AK741" s="2497"/>
      <c r="AL741" s="588"/>
      <c r="AM741" s="544"/>
      <c r="AN741" s="675"/>
      <c r="AP741" s="2495"/>
      <c r="AQ741" s="2497"/>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685</v>
      </c>
      <c r="E745" s="2487" t="s">
        <v>1682</v>
      </c>
      <c r="F745" s="2487"/>
      <c r="G745" s="2487"/>
      <c r="H745" s="2487"/>
      <c r="I745" s="2487"/>
      <c r="J745" s="2487"/>
      <c r="K745" s="2487"/>
      <c r="L745" s="2487"/>
      <c r="M745" s="2487"/>
      <c r="N745" s="2487"/>
      <c r="O745" s="2487"/>
      <c r="P745" s="2487"/>
      <c r="Q745" s="2487"/>
      <c r="R745" s="2487"/>
      <c r="S745" s="2487"/>
      <c r="T745" s="2487"/>
      <c r="U745" s="2487"/>
      <c r="V745" s="2487"/>
      <c r="W745" s="2487"/>
      <c r="X745" s="2487"/>
      <c r="Y745" s="2487"/>
      <c r="Z745" s="2487"/>
      <c r="AA745" s="2487"/>
      <c r="AB745" s="2487"/>
      <c r="AC745" s="532"/>
      <c r="AD745" s="532"/>
      <c r="AE745" s="532"/>
      <c r="AF745" s="2470" t="s">
        <v>1343</v>
      </c>
      <c r="AG745" s="2470"/>
      <c r="AH745" s="2470"/>
      <c r="AI745" s="2470"/>
      <c r="AJ745" s="2470"/>
      <c r="AK745" s="2470"/>
      <c r="AL745" s="2470"/>
      <c r="AM745" s="544"/>
      <c r="AN745" s="675"/>
      <c r="AT745" s="14"/>
      <c r="AU745" s="14"/>
      <c r="AV745" s="14"/>
      <c r="AW745" s="14"/>
      <c r="AX745" s="14"/>
      <c r="AY745" s="14"/>
      <c r="AZ745" s="14"/>
    </row>
    <row r="746" spans="1:81" s="563" customFormat="1">
      <c r="A746" s="544"/>
      <c r="B746" s="532"/>
      <c r="C746" s="924"/>
      <c r="D746" s="654"/>
      <c r="E746" s="2487"/>
      <c r="F746" s="2487"/>
      <c r="G746" s="2487"/>
      <c r="H746" s="2487"/>
      <c r="I746" s="2487"/>
      <c r="J746" s="2487"/>
      <c r="K746" s="2487"/>
      <c r="L746" s="2487"/>
      <c r="M746" s="2487"/>
      <c r="N746" s="2487"/>
      <c r="O746" s="2487"/>
      <c r="P746" s="2487"/>
      <c r="Q746" s="2487"/>
      <c r="R746" s="2487"/>
      <c r="S746" s="2487"/>
      <c r="T746" s="2487"/>
      <c r="U746" s="2487"/>
      <c r="V746" s="2487"/>
      <c r="W746" s="2487"/>
      <c r="X746" s="2487"/>
      <c r="Y746" s="2487"/>
      <c r="Z746" s="2487"/>
      <c r="AA746" s="2487"/>
      <c r="AB746" s="2487"/>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507</v>
      </c>
      <c r="E748" s="2487" t="s">
        <v>1428</v>
      </c>
      <c r="F748" s="2487"/>
      <c r="G748" s="2487"/>
      <c r="H748" s="2487"/>
      <c r="I748" s="2487"/>
      <c r="J748" s="2487"/>
      <c r="K748" s="2487"/>
      <c r="L748" s="2487"/>
      <c r="M748" s="2487"/>
      <c r="N748" s="2487"/>
      <c r="O748" s="2487"/>
      <c r="P748" s="2487"/>
      <c r="Q748" s="2487"/>
      <c r="R748" s="2487"/>
      <c r="S748" s="2487"/>
      <c r="T748" s="2487"/>
      <c r="U748" s="2487"/>
      <c r="V748" s="2487"/>
      <c r="W748" s="2487"/>
      <c r="X748" s="2487"/>
      <c r="Y748" s="2487"/>
      <c r="Z748" s="2487"/>
      <c r="AA748" s="2487"/>
      <c r="AB748" s="2487"/>
      <c r="AC748" s="532"/>
      <c r="AD748" s="532"/>
      <c r="AE748" s="532"/>
      <c r="AF748" s="2470" t="s">
        <v>1397</v>
      </c>
      <c r="AG748" s="2470"/>
      <c r="AH748" s="2470"/>
      <c r="AI748" s="2470"/>
      <c r="AJ748" s="2470"/>
      <c r="AK748" s="2470"/>
      <c r="AL748" s="2470"/>
      <c r="AM748" s="544"/>
      <c r="AN748" s="675"/>
      <c r="AT748" s="14"/>
      <c r="AU748" s="14"/>
      <c r="AV748" s="14"/>
      <c r="AW748" s="14"/>
      <c r="AX748" s="14"/>
      <c r="AY748" s="14"/>
      <c r="AZ748" s="14"/>
    </row>
    <row r="749" spans="1:81" s="563" customFormat="1">
      <c r="A749" s="544"/>
      <c r="B749" s="532"/>
      <c r="C749" s="924"/>
      <c r="D749" s="532"/>
      <c r="E749" s="2487"/>
      <c r="F749" s="2487"/>
      <c r="G749" s="2487"/>
      <c r="H749" s="2487"/>
      <c r="I749" s="2487"/>
      <c r="J749" s="2487"/>
      <c r="K749" s="2487"/>
      <c r="L749" s="2487"/>
      <c r="M749" s="2487"/>
      <c r="N749" s="2487"/>
      <c r="O749" s="2487"/>
      <c r="P749" s="2487"/>
      <c r="Q749" s="2487"/>
      <c r="R749" s="2487"/>
      <c r="S749" s="2487"/>
      <c r="T749" s="2487"/>
      <c r="U749" s="2487"/>
      <c r="V749" s="2487"/>
      <c r="W749" s="2487"/>
      <c r="X749" s="2487"/>
      <c r="Y749" s="2487"/>
      <c r="Z749" s="2487"/>
      <c r="AA749" s="2487"/>
      <c r="AB749" s="2487"/>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550" t="s">
        <v>589</v>
      </c>
      <c r="I751" s="2550"/>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495">
        <f>VLOOKUP($H$751,$AO$679:$AP$681,2,FALSE)</f>
        <v>0</v>
      </c>
      <c r="AK753" s="2497"/>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685</v>
      </c>
      <c r="E757" s="2487" t="s">
        <v>1431</v>
      </c>
      <c r="F757" s="2487"/>
      <c r="G757" s="2487"/>
      <c r="H757" s="2487"/>
      <c r="I757" s="2487"/>
      <c r="J757" s="2487"/>
      <c r="K757" s="2487"/>
      <c r="L757" s="2487"/>
      <c r="M757" s="2487"/>
      <c r="N757" s="2487"/>
      <c r="O757" s="2487"/>
      <c r="P757" s="2487"/>
      <c r="Q757" s="2487"/>
      <c r="R757" s="2487"/>
      <c r="S757" s="2487"/>
      <c r="T757" s="2487"/>
      <c r="U757" s="2487"/>
      <c r="V757" s="2487"/>
      <c r="W757" s="2487"/>
      <c r="X757" s="2487"/>
      <c r="Y757" s="2487"/>
      <c r="Z757" s="2487"/>
      <c r="AA757" s="2487"/>
      <c r="AB757" s="2487"/>
      <c r="AC757" s="532"/>
      <c r="AD757" s="532"/>
      <c r="AE757" s="532"/>
      <c r="AF757" s="2470" t="s">
        <v>1343</v>
      </c>
      <c r="AG757" s="2470"/>
      <c r="AH757" s="2470"/>
      <c r="AI757" s="2470"/>
      <c r="AJ757" s="2470"/>
      <c r="AK757" s="2470"/>
      <c r="AL757" s="2470"/>
      <c r="AM757" s="544"/>
      <c r="AN757" s="675"/>
      <c r="AT757" s="14"/>
      <c r="AU757" s="14"/>
      <c r="AV757" s="14"/>
      <c r="AW757" s="14"/>
      <c r="AX757" s="14"/>
      <c r="AY757" s="14"/>
      <c r="AZ757" s="14"/>
    </row>
    <row r="758" spans="1:81" s="563" customFormat="1">
      <c r="A758" s="544"/>
      <c r="B758" s="532"/>
      <c r="C758" s="922"/>
      <c r="D758" s="654"/>
      <c r="E758" s="2487"/>
      <c r="F758" s="2487"/>
      <c r="G758" s="2487"/>
      <c r="H758" s="2487"/>
      <c r="I758" s="2487"/>
      <c r="J758" s="2487"/>
      <c r="K758" s="2487"/>
      <c r="L758" s="2487"/>
      <c r="M758" s="2487"/>
      <c r="N758" s="2487"/>
      <c r="O758" s="2487"/>
      <c r="P758" s="2487"/>
      <c r="Q758" s="2487"/>
      <c r="R758" s="2487"/>
      <c r="S758" s="2487"/>
      <c r="T758" s="2487"/>
      <c r="U758" s="2487"/>
      <c r="V758" s="2487"/>
      <c r="W758" s="2487"/>
      <c r="X758" s="2487"/>
      <c r="Y758" s="2487"/>
      <c r="Z758" s="2487"/>
      <c r="AA758" s="2487"/>
      <c r="AB758" s="2487"/>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87"/>
      <c r="F759" s="2487"/>
      <c r="G759" s="2487"/>
      <c r="H759" s="2487"/>
      <c r="I759" s="2487"/>
      <c r="J759" s="2487"/>
      <c r="K759" s="2487"/>
      <c r="L759" s="2487"/>
      <c r="M759" s="2487"/>
      <c r="N759" s="2487"/>
      <c r="O759" s="2487"/>
      <c r="P759" s="2487"/>
      <c r="Q759" s="2487"/>
      <c r="R759" s="2487"/>
      <c r="S759" s="2487"/>
      <c r="T759" s="2487"/>
      <c r="U759" s="2487"/>
      <c r="V759" s="2487"/>
      <c r="W759" s="2487"/>
      <c r="X759" s="2487"/>
      <c r="Y759" s="2487"/>
      <c r="Z759" s="2487"/>
      <c r="AA759" s="2487"/>
      <c r="AB759" s="2487"/>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7"/>
      <c r="F760" s="2487"/>
      <c r="G760" s="2487"/>
      <c r="H760" s="2487"/>
      <c r="I760" s="2487"/>
      <c r="J760" s="2487"/>
      <c r="K760" s="2487"/>
      <c r="L760" s="2487"/>
      <c r="M760" s="2487"/>
      <c r="N760" s="2487"/>
      <c r="O760" s="2487"/>
      <c r="P760" s="2487"/>
      <c r="Q760" s="2487"/>
      <c r="R760" s="2487"/>
      <c r="S760" s="2487"/>
      <c r="T760" s="2487"/>
      <c r="U760" s="2487"/>
      <c r="V760" s="2487"/>
      <c r="W760" s="2487"/>
      <c r="X760" s="2487"/>
      <c r="Y760" s="2487"/>
      <c r="Z760" s="2487"/>
      <c r="AA760" s="2487"/>
      <c r="AB760" s="2487"/>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507</v>
      </c>
      <c r="E762" s="2487" t="s">
        <v>1432</v>
      </c>
      <c r="F762" s="2487"/>
      <c r="G762" s="2487"/>
      <c r="H762" s="2487"/>
      <c r="I762" s="2487"/>
      <c r="J762" s="2487"/>
      <c r="K762" s="2487"/>
      <c r="L762" s="2487"/>
      <c r="M762" s="2487"/>
      <c r="N762" s="2487"/>
      <c r="O762" s="2487"/>
      <c r="P762" s="2487"/>
      <c r="Q762" s="2487"/>
      <c r="R762" s="2487"/>
      <c r="S762" s="2487"/>
      <c r="T762" s="2487"/>
      <c r="U762" s="2487"/>
      <c r="V762" s="2487"/>
      <c r="W762" s="2487"/>
      <c r="X762" s="2487"/>
      <c r="Y762" s="2487"/>
      <c r="Z762" s="2487"/>
      <c r="AA762" s="2487"/>
      <c r="AB762" s="568"/>
      <c r="AC762" s="532"/>
      <c r="AD762" s="532"/>
      <c r="AE762" s="532"/>
      <c r="AF762" s="2470" t="s">
        <v>1397</v>
      </c>
      <c r="AG762" s="2470"/>
      <c r="AH762" s="2470"/>
      <c r="AI762" s="2470"/>
      <c r="AJ762" s="2470"/>
      <c r="AK762" s="2470"/>
      <c r="AL762" s="2470"/>
      <c r="AM762" s="544"/>
      <c r="AN762" s="675"/>
      <c r="AO762" s="30"/>
      <c r="AP762" s="14"/>
    </row>
    <row r="763" spans="1:81" s="563" customFormat="1">
      <c r="A763" s="544"/>
      <c r="B763" s="532"/>
      <c r="C763" s="922"/>
      <c r="D763" s="654"/>
      <c r="E763" s="2487"/>
      <c r="F763" s="2487"/>
      <c r="G763" s="2487"/>
      <c r="H763" s="2487"/>
      <c r="I763" s="2487"/>
      <c r="J763" s="2487"/>
      <c r="K763" s="2487"/>
      <c r="L763" s="2487"/>
      <c r="M763" s="2487"/>
      <c r="N763" s="2487"/>
      <c r="O763" s="2487"/>
      <c r="P763" s="2487"/>
      <c r="Q763" s="2487"/>
      <c r="R763" s="2487"/>
      <c r="S763" s="2487"/>
      <c r="T763" s="2487"/>
      <c r="U763" s="2487"/>
      <c r="V763" s="2487"/>
      <c r="W763" s="2487"/>
      <c r="X763" s="2487"/>
      <c r="Y763" s="2487"/>
      <c r="Z763" s="2487"/>
      <c r="AA763" s="2487"/>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87"/>
      <c r="F764" s="2487"/>
      <c r="G764" s="2487"/>
      <c r="H764" s="2487"/>
      <c r="I764" s="2487"/>
      <c r="J764" s="2487"/>
      <c r="K764" s="2487"/>
      <c r="L764" s="2487"/>
      <c r="M764" s="2487"/>
      <c r="N764" s="2487"/>
      <c r="O764" s="2487"/>
      <c r="P764" s="2487"/>
      <c r="Q764" s="2487"/>
      <c r="R764" s="2487"/>
      <c r="S764" s="2487"/>
      <c r="T764" s="2487"/>
      <c r="U764" s="2487"/>
      <c r="V764" s="2487"/>
      <c r="W764" s="2487"/>
      <c r="X764" s="2487"/>
      <c r="Y764" s="2487"/>
      <c r="Z764" s="2487"/>
      <c r="AA764" s="2487"/>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87"/>
      <c r="F765" s="2487"/>
      <c r="G765" s="2487"/>
      <c r="H765" s="2487"/>
      <c r="I765" s="2487"/>
      <c r="J765" s="2487"/>
      <c r="K765" s="2487"/>
      <c r="L765" s="2487"/>
      <c r="M765" s="2487"/>
      <c r="N765" s="2487"/>
      <c r="O765" s="2487"/>
      <c r="P765" s="2487"/>
      <c r="Q765" s="2487"/>
      <c r="R765" s="2487"/>
      <c r="S765" s="2487"/>
      <c r="T765" s="2487"/>
      <c r="U765" s="2487"/>
      <c r="V765" s="2487"/>
      <c r="W765" s="2487"/>
      <c r="X765" s="2487"/>
      <c r="Y765" s="2487"/>
      <c r="Z765" s="2487"/>
      <c r="AA765" s="2487"/>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550" t="s">
        <v>507</v>
      </c>
      <c r="I767" s="2550"/>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495">
        <f>VLOOKUP($H$767,$AO$693:$AP$695,2,FALSE)</f>
        <v>2</v>
      </c>
      <c r="AK769" s="2497"/>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685</v>
      </c>
      <c r="E773" s="2487" t="s">
        <v>1434</v>
      </c>
      <c r="F773" s="2487"/>
      <c r="G773" s="2487"/>
      <c r="H773" s="2487"/>
      <c r="I773" s="2487"/>
      <c r="J773" s="2487"/>
      <c r="K773" s="2487"/>
      <c r="L773" s="2487"/>
      <c r="M773" s="2487"/>
      <c r="N773" s="2487"/>
      <c r="O773" s="2487"/>
      <c r="P773" s="2487"/>
      <c r="Q773" s="2487"/>
      <c r="R773" s="2487"/>
      <c r="S773" s="2487"/>
      <c r="T773" s="2487"/>
      <c r="U773" s="2487"/>
      <c r="V773" s="2487"/>
      <c r="W773" s="2487"/>
      <c r="X773" s="2487"/>
      <c r="Y773" s="2487"/>
      <c r="Z773" s="2487"/>
      <c r="AA773" s="2487"/>
      <c r="AB773" s="2487"/>
      <c r="AC773" s="532"/>
      <c r="AD773" s="532"/>
      <c r="AE773" s="532"/>
      <c r="AF773" s="2470" t="s">
        <v>1397</v>
      </c>
      <c r="AG773" s="2470"/>
      <c r="AH773" s="2470"/>
      <c r="AI773" s="2470"/>
      <c r="AJ773" s="2470"/>
      <c r="AK773" s="2470"/>
      <c r="AL773" s="2470"/>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87"/>
      <c r="F774" s="2487"/>
      <c r="G774" s="2487"/>
      <c r="H774" s="2487"/>
      <c r="I774" s="2487"/>
      <c r="J774" s="2487"/>
      <c r="K774" s="2487"/>
      <c r="L774" s="2487"/>
      <c r="M774" s="2487"/>
      <c r="N774" s="2487"/>
      <c r="O774" s="2487"/>
      <c r="P774" s="2487"/>
      <c r="Q774" s="2487"/>
      <c r="R774" s="2487"/>
      <c r="S774" s="2487"/>
      <c r="T774" s="2487"/>
      <c r="U774" s="2487"/>
      <c r="V774" s="2487"/>
      <c r="W774" s="2487"/>
      <c r="X774" s="2487"/>
      <c r="Y774" s="2487"/>
      <c r="Z774" s="2487"/>
      <c r="AA774" s="2487"/>
      <c r="AB774" s="2487"/>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507</v>
      </c>
      <c r="E776" s="2487" t="s">
        <v>1435</v>
      </c>
      <c r="F776" s="2487"/>
      <c r="G776" s="2487"/>
      <c r="H776" s="2487"/>
      <c r="I776" s="2487"/>
      <c r="J776" s="2487"/>
      <c r="K776" s="2487"/>
      <c r="L776" s="2487"/>
      <c r="M776" s="2487"/>
      <c r="N776" s="2487"/>
      <c r="O776" s="2487"/>
      <c r="P776" s="2487"/>
      <c r="Q776" s="2487"/>
      <c r="R776" s="2487"/>
      <c r="S776" s="2487"/>
      <c r="T776" s="2487"/>
      <c r="U776" s="2487"/>
      <c r="V776" s="2487"/>
      <c r="W776" s="2487"/>
      <c r="X776" s="2487"/>
      <c r="Y776" s="2487"/>
      <c r="Z776" s="2487"/>
      <c r="AA776" s="2487"/>
      <c r="AB776" s="2487"/>
      <c r="AC776" s="532"/>
      <c r="AD776" s="532"/>
      <c r="AE776" s="532"/>
      <c r="AF776" s="2470" t="s">
        <v>1414</v>
      </c>
      <c r="AG776" s="2470"/>
      <c r="AH776" s="2470"/>
      <c r="AI776" s="2470"/>
      <c r="AJ776" s="2470"/>
      <c r="AK776" s="2470"/>
      <c r="AL776" s="2470"/>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7"/>
      <c r="F777" s="2487"/>
      <c r="G777" s="2487"/>
      <c r="H777" s="2487"/>
      <c r="I777" s="2487"/>
      <c r="J777" s="2487"/>
      <c r="K777" s="2487"/>
      <c r="L777" s="2487"/>
      <c r="M777" s="2487"/>
      <c r="N777" s="2487"/>
      <c r="O777" s="2487"/>
      <c r="P777" s="2487"/>
      <c r="Q777" s="2487"/>
      <c r="R777" s="2487"/>
      <c r="S777" s="2487"/>
      <c r="T777" s="2487"/>
      <c r="U777" s="2487"/>
      <c r="V777" s="2487"/>
      <c r="W777" s="2487"/>
      <c r="X777" s="2487"/>
      <c r="Y777" s="2487"/>
      <c r="Z777" s="2487"/>
      <c r="AA777" s="2487"/>
      <c r="AB777" s="2487"/>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550" t="s">
        <v>589</v>
      </c>
      <c r="I779" s="2550"/>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5"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495">
        <f>VLOOKUP($H$779,$AO$710:$AP$712,2,FALSE)</f>
        <v>0</v>
      </c>
      <c r="AK781" s="2497"/>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65" customHeight="1">
      <c r="A785" s="544"/>
      <c r="B785" s="609"/>
      <c r="C785" s="931"/>
      <c r="D785" s="654" t="s">
        <v>685</v>
      </c>
      <c r="E785" s="2487" t="s">
        <v>1678</v>
      </c>
      <c r="F785" s="2487"/>
      <c r="G785" s="2487"/>
      <c r="H785" s="2487"/>
      <c r="I785" s="2487"/>
      <c r="J785" s="2487"/>
      <c r="K785" s="2487"/>
      <c r="L785" s="2487"/>
      <c r="M785" s="2487"/>
      <c r="N785" s="2487"/>
      <c r="O785" s="2487"/>
      <c r="P785" s="2487"/>
      <c r="Q785" s="2487"/>
      <c r="R785" s="2487"/>
      <c r="S785" s="2487"/>
      <c r="T785" s="2487"/>
      <c r="U785" s="2487"/>
      <c r="V785" s="2487"/>
      <c r="W785" s="2487"/>
      <c r="X785" s="2487"/>
      <c r="Y785" s="2487"/>
      <c r="Z785" s="2487"/>
      <c r="AA785" s="2487"/>
      <c r="AB785" s="2487"/>
      <c r="AC785" s="2487"/>
      <c r="AD785" s="2487"/>
      <c r="AE785" s="532"/>
      <c r="AF785" s="2470" t="s">
        <v>1397</v>
      </c>
      <c r="AG785" s="2470"/>
      <c r="AH785" s="2470"/>
      <c r="AI785" s="2470"/>
      <c r="AJ785" s="2470"/>
      <c r="AK785" s="2470"/>
      <c r="AL785" s="2470"/>
      <c r="AM785" s="606"/>
      <c r="AN785" s="675"/>
      <c r="AO785" s="544" t="s">
        <v>589</v>
      </c>
      <c r="AP785" s="664">
        <v>0</v>
      </c>
    </row>
    <row r="786" spans="1:81" s="563" customFormat="1" ht="13.65" customHeight="1">
      <c r="A786" s="544"/>
      <c r="B786" s="609"/>
      <c r="C786" s="931"/>
      <c r="D786" s="654"/>
      <c r="E786" s="2487"/>
      <c r="F786" s="2487"/>
      <c r="G786" s="2487"/>
      <c r="H786" s="2487"/>
      <c r="I786" s="2487"/>
      <c r="J786" s="2487"/>
      <c r="K786" s="2487"/>
      <c r="L786" s="2487"/>
      <c r="M786" s="2487"/>
      <c r="N786" s="2487"/>
      <c r="O786" s="2487"/>
      <c r="P786" s="2487"/>
      <c r="Q786" s="2487"/>
      <c r="R786" s="2487"/>
      <c r="S786" s="2487"/>
      <c r="T786" s="2487"/>
      <c r="U786" s="2487"/>
      <c r="V786" s="2487"/>
      <c r="W786" s="2487"/>
      <c r="X786" s="2487"/>
      <c r="Y786" s="2487"/>
      <c r="Z786" s="2487"/>
      <c r="AA786" s="2487"/>
      <c r="AB786" s="2487"/>
      <c r="AC786" s="2487"/>
      <c r="AD786" s="2487"/>
      <c r="AE786" s="532"/>
      <c r="AF786" s="587"/>
      <c r="AG786" s="587"/>
      <c r="AH786" s="587"/>
      <c r="AI786" s="587"/>
      <c r="AJ786" s="587"/>
      <c r="AK786" s="587"/>
      <c r="AL786" s="587"/>
      <c r="AM786" s="606"/>
      <c r="AN786" s="675"/>
      <c r="AO786" s="604" t="s">
        <v>685</v>
      </c>
      <c r="AP786" s="544">
        <v>2</v>
      </c>
    </row>
    <row r="787" spans="1:81" s="563" customFormat="1">
      <c r="A787" s="544"/>
      <c r="B787" s="609"/>
      <c r="C787" s="931"/>
      <c r="D787" s="654"/>
      <c r="E787" s="2487"/>
      <c r="F787" s="2487"/>
      <c r="G787" s="2487"/>
      <c r="H787" s="2487"/>
      <c r="I787" s="2487"/>
      <c r="J787" s="2487"/>
      <c r="K787" s="2487"/>
      <c r="L787" s="2487"/>
      <c r="M787" s="2487"/>
      <c r="N787" s="2487"/>
      <c r="O787" s="2487"/>
      <c r="P787" s="2487"/>
      <c r="Q787" s="2487"/>
      <c r="R787" s="2487"/>
      <c r="S787" s="2487"/>
      <c r="T787" s="2487"/>
      <c r="U787" s="2487"/>
      <c r="V787" s="2487"/>
      <c r="W787" s="2487"/>
      <c r="X787" s="2487"/>
      <c r="Y787" s="2487"/>
      <c r="Z787" s="2487"/>
      <c r="AA787" s="2487"/>
      <c r="AB787" s="2487"/>
      <c r="AC787" s="2487"/>
      <c r="AD787" s="2487"/>
      <c r="AE787" s="532"/>
      <c r="AF787" s="532"/>
      <c r="AG787" s="532"/>
      <c r="AH787" s="532"/>
      <c r="AI787" s="532"/>
      <c r="AJ787" s="532"/>
      <c r="AK787" s="532"/>
      <c r="AL787" s="587"/>
      <c r="AM787" s="606"/>
      <c r="AN787" s="530"/>
      <c r="AO787" s="604" t="s">
        <v>507</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87"/>
      <c r="F788" s="2487"/>
      <c r="G788" s="2487"/>
      <c r="H788" s="2487"/>
      <c r="I788" s="2487"/>
      <c r="J788" s="2487"/>
      <c r="K788" s="2487"/>
      <c r="L788" s="2487"/>
      <c r="M788" s="2487"/>
      <c r="N788" s="2487"/>
      <c r="O788" s="2487"/>
      <c r="P788" s="2487"/>
      <c r="Q788" s="2487"/>
      <c r="R788" s="2487"/>
      <c r="S788" s="2487"/>
      <c r="T788" s="2487"/>
      <c r="U788" s="2487"/>
      <c r="V788" s="2487"/>
      <c r="W788" s="2487"/>
      <c r="X788" s="2487"/>
      <c r="Y788" s="2487"/>
      <c r="Z788" s="2487"/>
      <c r="AA788" s="2487"/>
      <c r="AB788" s="2487"/>
      <c r="AC788" s="2487"/>
      <c r="AD788" s="2487"/>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507</v>
      </c>
      <c r="E790" s="2560" t="s">
        <v>1683</v>
      </c>
      <c r="F790" s="2560"/>
      <c r="G790" s="2560"/>
      <c r="H790" s="2560"/>
      <c r="I790" s="2560"/>
      <c r="J790" s="2560"/>
      <c r="K790" s="2560"/>
      <c r="L790" s="2560"/>
      <c r="M790" s="2560"/>
      <c r="N790" s="2560"/>
      <c r="O790" s="2560"/>
      <c r="P790" s="2560"/>
      <c r="Q790" s="2560"/>
      <c r="R790" s="2560"/>
      <c r="S790" s="2560"/>
      <c r="T790" s="2560"/>
      <c r="U790" s="2560"/>
      <c r="V790" s="2560"/>
      <c r="W790" s="2560"/>
      <c r="X790" s="2560"/>
      <c r="Y790" s="2560"/>
      <c r="Z790" s="2560"/>
      <c r="AA790" s="2560"/>
      <c r="AB790" s="2560"/>
      <c r="AC790" s="2560"/>
      <c r="AD790" s="2560"/>
      <c r="AE790" s="532"/>
      <c r="AF790" s="2470" t="s">
        <v>1343</v>
      </c>
      <c r="AG790" s="2470"/>
      <c r="AH790" s="2470"/>
      <c r="AI790" s="2470"/>
      <c r="AJ790" s="2470"/>
      <c r="AK790" s="2470"/>
      <c r="AL790" s="2470"/>
      <c r="AM790" s="606"/>
      <c r="AN790" s="590"/>
    </row>
    <row r="791" spans="1:81" s="544" customFormat="1" ht="12.75" customHeight="1">
      <c r="B791" s="609"/>
      <c r="C791" s="931"/>
      <c r="D791" s="654"/>
      <c r="E791" s="2560"/>
      <c r="F791" s="2560"/>
      <c r="G791" s="2560"/>
      <c r="H791" s="2560"/>
      <c r="I791" s="2560"/>
      <c r="J791" s="2560"/>
      <c r="K791" s="2560"/>
      <c r="L791" s="2560"/>
      <c r="M791" s="2560"/>
      <c r="N791" s="2560"/>
      <c r="O791" s="2560"/>
      <c r="P791" s="2560"/>
      <c r="Q791" s="2560"/>
      <c r="R791" s="2560"/>
      <c r="S791" s="2560"/>
      <c r="T791" s="2560"/>
      <c r="U791" s="2560"/>
      <c r="V791" s="2560"/>
      <c r="W791" s="2560"/>
      <c r="X791" s="2560"/>
      <c r="Y791" s="2560"/>
      <c r="Z791" s="2560"/>
      <c r="AA791" s="2560"/>
      <c r="AB791" s="2560"/>
      <c r="AC791" s="2560"/>
      <c r="AD791" s="2560"/>
      <c r="AE791" s="587"/>
      <c r="AF791" s="587"/>
      <c r="AG791" s="587"/>
      <c r="AH791" s="587"/>
      <c r="AI791" s="587"/>
      <c r="AJ791" s="587"/>
      <c r="AK791" s="587"/>
      <c r="AL791" s="587"/>
      <c r="AM791" s="606"/>
      <c r="AN791" s="590"/>
    </row>
    <row r="792" spans="1:81" s="544" customFormat="1" ht="12.75" customHeight="1">
      <c r="B792" s="609"/>
      <c r="C792" s="931"/>
      <c r="D792" s="654"/>
      <c r="E792" s="2560"/>
      <c r="F792" s="2560"/>
      <c r="G792" s="2560"/>
      <c r="H792" s="2560"/>
      <c r="I792" s="2560"/>
      <c r="J792" s="2560"/>
      <c r="K792" s="2560"/>
      <c r="L792" s="2560"/>
      <c r="M792" s="2560"/>
      <c r="N792" s="2560"/>
      <c r="O792" s="2560"/>
      <c r="P792" s="2560"/>
      <c r="Q792" s="2560"/>
      <c r="R792" s="2560"/>
      <c r="S792" s="2560"/>
      <c r="T792" s="2560"/>
      <c r="U792" s="2560"/>
      <c r="V792" s="2560"/>
      <c r="W792" s="2560"/>
      <c r="X792" s="2560"/>
      <c r="Y792" s="2560"/>
      <c r="Z792" s="2560"/>
      <c r="AA792" s="2560"/>
      <c r="AB792" s="2560"/>
      <c r="AC792" s="2560"/>
      <c r="AD792" s="2560"/>
      <c r="AE792" s="587"/>
      <c r="AF792" s="587"/>
      <c r="AG792" s="587"/>
      <c r="AH792" s="587"/>
      <c r="AI792" s="587"/>
      <c r="AJ792" s="587"/>
      <c r="AK792" s="587"/>
      <c r="AL792" s="587"/>
      <c r="AM792" s="606"/>
      <c r="AN792" s="590"/>
    </row>
    <row r="793" spans="1:81" s="544" customFormat="1" ht="12.75" customHeight="1">
      <c r="B793" s="609"/>
      <c r="C793" s="931"/>
      <c r="D793" s="654"/>
      <c r="E793" s="2560"/>
      <c r="F793" s="2560"/>
      <c r="G793" s="2560"/>
      <c r="H793" s="2560"/>
      <c r="I793" s="2560"/>
      <c r="J793" s="2560"/>
      <c r="K793" s="2560"/>
      <c r="L793" s="2560"/>
      <c r="M793" s="2560"/>
      <c r="N793" s="2560"/>
      <c r="O793" s="2560"/>
      <c r="P793" s="2560"/>
      <c r="Q793" s="2560"/>
      <c r="R793" s="2560"/>
      <c r="S793" s="2560"/>
      <c r="T793" s="2560"/>
      <c r="U793" s="2560"/>
      <c r="V793" s="2560"/>
      <c r="W793" s="2560"/>
      <c r="X793" s="2560"/>
      <c r="Y793" s="2560"/>
      <c r="Z793" s="2560"/>
      <c r="AA793" s="2560"/>
      <c r="AB793" s="2560"/>
      <c r="AC793" s="2560"/>
      <c r="AD793" s="2560"/>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550" t="s">
        <v>589</v>
      </c>
      <c r="I795" s="2550"/>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495">
        <f>VLOOKUP($H$795,$AO$785:$AP$787,2,FALSE)</f>
        <v>0</v>
      </c>
      <c r="AK797" s="2497"/>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589</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65" customHeight="1">
      <c r="A801" s="544"/>
      <c r="B801" s="609"/>
      <c r="C801" s="931"/>
      <c r="D801" s="654" t="s">
        <v>685</v>
      </c>
      <c r="E801" s="2487" t="s">
        <v>2626</v>
      </c>
      <c r="F801" s="2487"/>
      <c r="G801" s="2487"/>
      <c r="H801" s="2487"/>
      <c r="I801" s="2487"/>
      <c r="J801" s="2487"/>
      <c r="K801" s="2487"/>
      <c r="L801" s="2487"/>
      <c r="M801" s="2487"/>
      <c r="N801" s="2487"/>
      <c r="O801" s="2487"/>
      <c r="P801" s="2487"/>
      <c r="Q801" s="2487"/>
      <c r="R801" s="2487"/>
      <c r="S801" s="2487"/>
      <c r="T801" s="2487"/>
      <c r="U801" s="2487"/>
      <c r="V801" s="2487"/>
      <c r="W801" s="2487"/>
      <c r="X801" s="2487"/>
      <c r="Y801" s="2487"/>
      <c r="Z801" s="2487"/>
      <c r="AA801" s="2487"/>
      <c r="AB801" s="2487"/>
      <c r="AC801" s="2487"/>
      <c r="AD801" s="2487"/>
      <c r="AE801" s="532"/>
      <c r="AF801" s="2470" t="s">
        <v>1343</v>
      </c>
      <c r="AG801" s="2470"/>
      <c r="AH801" s="2470"/>
      <c r="AI801" s="2470"/>
      <c r="AJ801" s="2470"/>
      <c r="AK801" s="2470"/>
      <c r="AL801" s="2470"/>
      <c r="AM801" s="606"/>
      <c r="AN801" s="675"/>
      <c r="AO801" s="604" t="s">
        <v>543</v>
      </c>
      <c r="AP801" s="544">
        <v>3</v>
      </c>
      <c r="AT801" s="665"/>
      <c r="AU801" s="665"/>
      <c r="AV801" s="665"/>
      <c r="AW801" s="665"/>
      <c r="AX801" s="665"/>
      <c r="AY801" s="665"/>
      <c r="AZ801" s="665"/>
    </row>
    <row r="802" spans="1:81" s="563" customFormat="1" ht="13.65" customHeight="1">
      <c r="A802" s="544"/>
      <c r="B802" s="609"/>
      <c r="C802" s="931"/>
      <c r="D802" s="654"/>
      <c r="E802" s="2487"/>
      <c r="F802" s="2487"/>
      <c r="G802" s="2487"/>
      <c r="H802" s="2487"/>
      <c r="I802" s="2487"/>
      <c r="J802" s="2487"/>
      <c r="K802" s="2487"/>
      <c r="L802" s="2487"/>
      <c r="M802" s="2487"/>
      <c r="N802" s="2487"/>
      <c r="O802" s="2487"/>
      <c r="P802" s="2487"/>
      <c r="Q802" s="2487"/>
      <c r="R802" s="2487"/>
      <c r="S802" s="2487"/>
      <c r="T802" s="2487"/>
      <c r="U802" s="2487"/>
      <c r="V802" s="2487"/>
      <c r="W802" s="2487"/>
      <c r="X802" s="2487"/>
      <c r="Y802" s="2487"/>
      <c r="Z802" s="2487"/>
      <c r="AA802" s="2487"/>
      <c r="AB802" s="2487"/>
      <c r="AC802" s="2487"/>
      <c r="AD802" s="2487"/>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87"/>
      <c r="F803" s="2487"/>
      <c r="G803" s="2487"/>
      <c r="H803" s="2487"/>
      <c r="I803" s="2487"/>
      <c r="J803" s="2487"/>
      <c r="K803" s="2487"/>
      <c r="L803" s="2487"/>
      <c r="M803" s="2487"/>
      <c r="N803" s="2487"/>
      <c r="O803" s="2487"/>
      <c r="P803" s="2487"/>
      <c r="Q803" s="2487"/>
      <c r="R803" s="2487"/>
      <c r="S803" s="2487"/>
      <c r="T803" s="2487"/>
      <c r="U803" s="2487"/>
      <c r="V803" s="2487"/>
      <c r="W803" s="2487"/>
      <c r="X803" s="2487"/>
      <c r="Y803" s="2487"/>
      <c r="Z803" s="2487"/>
      <c r="AA803" s="2487"/>
      <c r="AB803" s="2487"/>
      <c r="AC803" s="2487"/>
      <c r="AD803" s="2487"/>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87"/>
      <c r="F804" s="2487"/>
      <c r="G804" s="2487"/>
      <c r="H804" s="2487"/>
      <c r="I804" s="2487"/>
      <c r="J804" s="2487"/>
      <c r="K804" s="2487"/>
      <c r="L804" s="2487"/>
      <c r="M804" s="2487"/>
      <c r="N804" s="2487"/>
      <c r="O804" s="2487"/>
      <c r="P804" s="2487"/>
      <c r="Q804" s="2487"/>
      <c r="R804" s="2487"/>
      <c r="S804" s="2487"/>
      <c r="T804" s="2487"/>
      <c r="U804" s="2487"/>
      <c r="V804" s="2487"/>
      <c r="W804" s="2487"/>
      <c r="X804" s="2487"/>
      <c r="Y804" s="2487"/>
      <c r="Z804" s="2487"/>
      <c r="AA804" s="2487"/>
      <c r="AB804" s="2487"/>
      <c r="AC804" s="2487"/>
      <c r="AD804" s="2487"/>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2550" t="s">
        <v>589</v>
      </c>
      <c r="I806" s="2550"/>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495">
        <f>VLOOKUP($H$806,$AO$800:$AP$801,2,FALSE)</f>
        <v>0</v>
      </c>
      <c r="AK808" s="2497"/>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685</v>
      </c>
      <c r="E812" s="2487" t="s">
        <v>2588</v>
      </c>
      <c r="F812" s="2487"/>
      <c r="G812" s="2487"/>
      <c r="H812" s="2487"/>
      <c r="I812" s="2487"/>
      <c r="J812" s="2487"/>
      <c r="K812" s="2487"/>
      <c r="L812" s="2487"/>
      <c r="M812" s="2487"/>
      <c r="N812" s="2487"/>
      <c r="O812" s="2487"/>
      <c r="P812" s="2487"/>
      <c r="Q812" s="2487"/>
      <c r="R812" s="2487"/>
      <c r="S812" s="2487"/>
      <c r="T812" s="2487"/>
      <c r="U812" s="2487"/>
      <c r="V812" s="2487"/>
      <c r="W812" s="2487"/>
      <c r="X812" s="2487"/>
      <c r="Y812" s="2487"/>
      <c r="Z812" s="2487"/>
      <c r="AA812" s="2487"/>
      <c r="AB812" s="2487"/>
      <c r="AC812" s="2487"/>
      <c r="AD812" s="2487"/>
      <c r="AE812" s="545"/>
      <c r="AF812" s="2470" t="s">
        <v>1368</v>
      </c>
      <c r="AG812" s="2470"/>
      <c r="AH812" s="2470"/>
      <c r="AI812" s="2470"/>
      <c r="AJ812" s="2470"/>
      <c r="AK812" s="2470"/>
      <c r="AL812" s="2470"/>
      <c r="AN812" s="590"/>
    </row>
    <row r="813" spans="1:81" s="544" customFormat="1" ht="12.75" customHeight="1">
      <c r="B813" s="609"/>
      <c r="C813" s="679"/>
      <c r="D813" s="654"/>
      <c r="E813" s="2487"/>
      <c r="F813" s="2487"/>
      <c r="G813" s="2487"/>
      <c r="H813" s="2487"/>
      <c r="I813" s="2487"/>
      <c r="J813" s="2487"/>
      <c r="K813" s="2487"/>
      <c r="L813" s="2487"/>
      <c r="M813" s="2487"/>
      <c r="N813" s="2487"/>
      <c r="O813" s="2487"/>
      <c r="P813" s="2487"/>
      <c r="Q813" s="2487"/>
      <c r="R813" s="2487"/>
      <c r="S813" s="2487"/>
      <c r="T813" s="2487"/>
      <c r="U813" s="2487"/>
      <c r="V813" s="2487"/>
      <c r="W813" s="2487"/>
      <c r="X813" s="2487"/>
      <c r="Y813" s="2487"/>
      <c r="Z813" s="2487"/>
      <c r="AA813" s="2487"/>
      <c r="AB813" s="2487"/>
      <c r="AC813" s="2487"/>
      <c r="AD813" s="2487"/>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2550" t="s">
        <v>589</v>
      </c>
      <c r="I815" s="2550"/>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95">
        <f>IF(H815="Yes",5,0)</f>
        <v>0</v>
      </c>
      <c r="AK817" s="2497"/>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495">
        <f>IF(($AJ$634+$AJ$653+$AJ$665+$AJ$700+$AJ$727+$AJ$741+$AJ$753+$AJ$769+$AJ$781+$AJ$797+AJ808+AJ817)&gt;10,10,($AJ$634+$AJ$653+$AJ$665+$AJ$700+$AJ$727+$AJ$741+$AJ$753+$AJ$769+$AJ$781+$AJ$797+AJ808+AJ817))</f>
        <v>10</v>
      </c>
      <c r="AL819" s="2496"/>
      <c r="AM819" s="2497"/>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2655</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2656</v>
      </c>
      <c r="C823" s="3"/>
      <c r="D823" s="3"/>
      <c r="E823" s="3"/>
      <c r="F823" s="3"/>
      <c r="G823"/>
      <c r="H823" s="2406" t="s">
        <v>2799</v>
      </c>
      <c r="I823" s="1539"/>
      <c r="J823" s="1539"/>
      <c r="K823" s="1539"/>
      <c r="L823" s="1539"/>
      <c r="M823" s="1539"/>
      <c r="N823" s="1539"/>
      <c r="O823" s="1539"/>
      <c r="P823" s="1539"/>
      <c r="Q823" s="1539"/>
      <c r="R823" s="1539"/>
      <c r="S823"/>
      <c r="T823" s="3" t="s">
        <v>2656</v>
      </c>
      <c r="U823"/>
      <c r="V823" s="3"/>
      <c r="W823" s="3"/>
      <c r="X823" s="3"/>
      <c r="Y823" s="3"/>
      <c r="Z823"/>
      <c r="AA823" s="1557" t="s">
        <v>2805</v>
      </c>
      <c r="AB823" s="1539"/>
      <c r="AC823" s="1539"/>
      <c r="AD823" s="1539"/>
      <c r="AE823" s="1539"/>
      <c r="AF823" s="1539"/>
      <c r="AG823" s="1539"/>
      <c r="AH823" s="1539"/>
      <c r="AI823" s="1539"/>
      <c r="AJ823" s="1539"/>
      <c r="AK823" s="1539"/>
      <c r="AL823" s="350"/>
      <c r="AN823" s="1273"/>
      <c r="AP823"/>
    </row>
    <row r="824" spans="1:81" s="22" customFormat="1" ht="12.75" customHeight="1">
      <c r="B824" s="3" t="s">
        <v>469</v>
      </c>
      <c r="C824" s="3"/>
      <c r="D824" s="3"/>
      <c r="E824" s="3"/>
      <c r="F824" s="3"/>
      <c r="G824"/>
      <c r="H824" s="2405"/>
      <c r="I824" s="1516"/>
      <c r="J824" s="1516"/>
      <c r="K824" s="1516"/>
      <c r="L824" s="1516"/>
      <c r="M824" s="1516"/>
      <c r="N824" s="1516"/>
      <c r="O824" s="1516"/>
      <c r="P824" s="1516"/>
      <c r="Q824" s="1516"/>
      <c r="R824" s="1516"/>
      <c r="S824"/>
      <c r="T824" s="3" t="s">
        <v>469</v>
      </c>
      <c r="U824"/>
      <c r="V824" s="3"/>
      <c r="W824" s="3"/>
      <c r="X824" s="3"/>
      <c r="Y824" s="3"/>
      <c r="Z824"/>
      <c r="AA824" s="2407" t="s">
        <v>2804</v>
      </c>
      <c r="AB824" s="1516"/>
      <c r="AC824" s="1516"/>
      <c r="AD824" s="1516"/>
      <c r="AE824" s="1516"/>
      <c r="AF824" s="1516"/>
      <c r="AG824" s="1516"/>
      <c r="AH824" s="1516"/>
      <c r="AI824" s="1516"/>
      <c r="AJ824" s="1516"/>
      <c r="AK824" s="1516"/>
      <c r="AL824" s="350"/>
      <c r="AN824" s="1273"/>
      <c r="AP824"/>
    </row>
    <row r="825" spans="1:81" s="22" customFormat="1" ht="12.75" customHeight="1">
      <c r="B825" s="3" t="s">
        <v>2657</v>
      </c>
      <c r="C825" s="3"/>
      <c r="D825" s="3"/>
      <c r="E825" s="3"/>
      <c r="F825" s="3"/>
      <c r="G825"/>
      <c r="H825" s="2405" t="s">
        <v>2800</v>
      </c>
      <c r="I825" s="1516"/>
      <c r="J825" s="1516"/>
      <c r="K825" s="1516"/>
      <c r="L825" s="1516"/>
      <c r="M825" s="1516"/>
      <c r="N825" s="1516"/>
      <c r="O825" s="1516"/>
      <c r="P825" s="1516"/>
      <c r="Q825" s="1516"/>
      <c r="R825" s="1516"/>
      <c r="S825"/>
      <c r="T825" s="3" t="s">
        <v>2657</v>
      </c>
      <c r="U825"/>
      <c r="V825" s="3"/>
      <c r="W825" s="3"/>
      <c r="X825" s="3"/>
      <c r="Y825" s="3"/>
      <c r="Z825"/>
      <c r="AA825" s="1467" t="s">
        <v>2800</v>
      </c>
      <c r="AB825" s="1516"/>
      <c r="AC825" s="1516"/>
      <c r="AD825" s="1516"/>
      <c r="AE825" s="1516"/>
      <c r="AF825" s="1516"/>
      <c r="AG825" s="1516"/>
      <c r="AH825" s="1516"/>
      <c r="AI825" s="1516"/>
      <c r="AJ825" s="1516"/>
      <c r="AK825" s="1516"/>
      <c r="AL825" s="350"/>
      <c r="AN825" s="1273"/>
      <c r="AO825" s="1274"/>
      <c r="AP825"/>
    </row>
    <row r="826" spans="1:81" s="22" customFormat="1" ht="12.75" customHeight="1">
      <c r="B826" s="3" t="s">
        <v>87</v>
      </c>
      <c r="C826" s="3"/>
      <c r="D826" s="3"/>
      <c r="E826" s="3"/>
      <c r="F826" s="3"/>
      <c r="G826"/>
      <c r="H826" s="1516" t="s">
        <v>2801</v>
      </c>
      <c r="I826" s="1516"/>
      <c r="J826" s="1516"/>
      <c r="K826" s="1516"/>
      <c r="L826" s="1516"/>
      <c r="M826" s="1516"/>
      <c r="N826" s="1516"/>
      <c r="O826" s="1516"/>
      <c r="P826" s="1516"/>
      <c r="Q826" s="1516"/>
      <c r="R826" s="1516"/>
      <c r="S826"/>
      <c r="T826" s="3" t="s">
        <v>87</v>
      </c>
      <c r="U826"/>
      <c r="V826" s="3"/>
      <c r="W826" s="3"/>
      <c r="X826" s="3"/>
      <c r="Y826" s="3"/>
      <c r="Z826"/>
      <c r="AA826" s="1467" t="s">
        <v>2806</v>
      </c>
      <c r="AB826" s="1516"/>
      <c r="AC826" s="1516"/>
      <c r="AD826" s="1516"/>
      <c r="AE826" s="1516"/>
      <c r="AF826" s="1516"/>
      <c r="AG826" s="1516"/>
      <c r="AH826" s="1516"/>
      <c r="AI826" s="1516"/>
      <c r="AJ826" s="1516"/>
      <c r="AK826" s="1516"/>
      <c r="AL826" s="350"/>
      <c r="AN826" s="1273"/>
      <c r="AO826" s="1274"/>
      <c r="AP826"/>
    </row>
    <row r="827" spans="1:81" s="22" customFormat="1" ht="12.75" customHeight="1">
      <c r="B827" s="3" t="s">
        <v>88</v>
      </c>
      <c r="C827" s="3"/>
      <c r="D827" s="3"/>
      <c r="E827" s="3"/>
      <c r="F827" s="3"/>
      <c r="G827" s="3"/>
      <c r="H827" s="1868" t="s">
        <v>2802</v>
      </c>
      <c r="I827" s="1868"/>
      <c r="J827" s="1868"/>
      <c r="K827" s="1868"/>
      <c r="L827" s="1868"/>
      <c r="M827" s="1868"/>
      <c r="N827" s="3" t="s">
        <v>206</v>
      </c>
      <c r="O827" s="3"/>
      <c r="P827" s="1557"/>
      <c r="Q827" s="1557"/>
      <c r="R827" s="1557"/>
      <c r="S827" s="3"/>
      <c r="T827" s="3" t="s">
        <v>88</v>
      </c>
      <c r="U827"/>
      <c r="V827" s="3"/>
      <c r="W827" s="3"/>
      <c r="X827" s="3"/>
      <c r="Y827" s="3"/>
      <c r="Z827"/>
      <c r="AA827" s="1868" t="s">
        <v>2807</v>
      </c>
      <c r="AB827" s="1868"/>
      <c r="AC827" s="1868"/>
      <c r="AD827" s="1868"/>
      <c r="AE827" s="1868"/>
      <c r="AF827" s="1868"/>
      <c r="AG827" s="3" t="s">
        <v>206</v>
      </c>
      <c r="AH827" s="3"/>
      <c r="AI827" s="1557"/>
      <c r="AJ827" s="1557"/>
      <c r="AK827" s="1557"/>
      <c r="AL827" s="350"/>
      <c r="AN827" s="1273"/>
      <c r="AO827" s="1274"/>
      <c r="AP827"/>
    </row>
    <row r="828" spans="1:81" s="22" customFormat="1" ht="12.75" customHeight="1">
      <c r="B828" s="3" t="s">
        <v>2658</v>
      </c>
      <c r="C828" s="3"/>
      <c r="D828" s="3"/>
      <c r="E828" s="3"/>
      <c r="F828" s="3"/>
      <c r="G828" s="3"/>
      <c r="H828" s="1516"/>
      <c r="I828" s="1516"/>
      <c r="J828" s="1516"/>
      <c r="K828" s="1516"/>
      <c r="L828" s="1516"/>
      <c r="M828" s="1516"/>
      <c r="N828" s="1516"/>
      <c r="O828" s="1516"/>
      <c r="P828" s="1516"/>
      <c r="Q828" s="1516"/>
      <c r="R828" s="1516"/>
      <c r="S828" s="3"/>
      <c r="T828" s="3" t="s">
        <v>2658</v>
      </c>
      <c r="U828"/>
      <c r="V828" s="3"/>
      <c r="W828" s="3"/>
      <c r="X828" s="3"/>
      <c r="Y828" s="3"/>
      <c r="Z828"/>
      <c r="AA828" s="1516"/>
      <c r="AB828" s="1516"/>
      <c r="AC828" s="1516"/>
      <c r="AD828" s="1516"/>
      <c r="AE828" s="1516"/>
      <c r="AF828" s="1516"/>
      <c r="AG828" s="1516"/>
      <c r="AH828" s="1516"/>
      <c r="AI828" s="1516"/>
      <c r="AJ828" s="1516"/>
      <c r="AK828" s="1516"/>
      <c r="AL828" s="350"/>
      <c r="AN828" s="1273"/>
      <c r="AO828" s="1274"/>
      <c r="AP828"/>
    </row>
    <row r="829" spans="1:81" s="22" customFormat="1" ht="12.75" customHeight="1">
      <c r="B829" s="3" t="s">
        <v>2659</v>
      </c>
      <c r="C829" s="3"/>
      <c r="D829" s="3"/>
      <c r="E829" s="3"/>
      <c r="F829" s="3"/>
      <c r="G829" s="3"/>
      <c r="H829" s="1467" t="s">
        <v>2803</v>
      </c>
      <c r="I829" s="1516"/>
      <c r="J829" s="1516"/>
      <c r="K829" s="1516"/>
      <c r="L829" s="1516"/>
      <c r="M829" s="1516"/>
      <c r="N829" s="1516"/>
      <c r="O829" s="1516"/>
      <c r="P829" s="1516"/>
      <c r="Q829" s="1516"/>
      <c r="R829" s="1516"/>
      <c r="S829" s="3"/>
      <c r="T829" s="3" t="s">
        <v>2659</v>
      </c>
      <c r="U829"/>
      <c r="V829" s="3"/>
      <c r="W829" s="3"/>
      <c r="X829" s="3"/>
      <c r="Y829" s="3"/>
      <c r="Z829"/>
      <c r="AA829" s="1467" t="s">
        <v>2808</v>
      </c>
      <c r="AB829" s="1516"/>
      <c r="AC829" s="1516"/>
      <c r="AD829" s="1516"/>
      <c r="AE829" s="1516"/>
      <c r="AF829" s="1516"/>
      <c r="AG829" s="1516"/>
      <c r="AH829" s="1516"/>
      <c r="AI829" s="1516"/>
      <c r="AJ829" s="1516"/>
      <c r="AK829" s="1516"/>
      <c r="AL829" s="350"/>
      <c r="AN829" s="1273"/>
      <c r="AP829"/>
    </row>
    <row r="830" spans="1:81" s="22" customFormat="1" ht="12.75" customHeight="1">
      <c r="B830" s="3" t="s">
        <v>2660</v>
      </c>
      <c r="C830" s="3"/>
      <c r="D830" s="3"/>
      <c r="E830" s="3"/>
      <c r="F830" s="3"/>
      <c r="G830" s="3"/>
      <c r="H830" s="2405">
        <v>0.2</v>
      </c>
      <c r="I830" s="2405"/>
      <c r="J830" s="2405"/>
      <c r="K830" s="2405"/>
      <c r="L830" s="2405"/>
      <c r="M830" s="2405"/>
      <c r="N830" s="2405"/>
      <c r="O830" s="2405"/>
      <c r="P830" s="2405"/>
      <c r="Q830" s="2405"/>
      <c r="R830" s="2405"/>
      <c r="S830" s="3"/>
      <c r="T830" s="3" t="s">
        <v>2660</v>
      </c>
      <c r="U830" s="3"/>
      <c r="V830" s="3"/>
      <c r="W830" s="3"/>
      <c r="X830" s="3"/>
      <c r="Y830" s="3"/>
      <c r="Z830" s="8"/>
      <c r="AA830" s="2405">
        <v>0.28999999999999998</v>
      </c>
      <c r="AB830" s="2405"/>
      <c r="AC830" s="2405"/>
      <c r="AD830" s="2405"/>
      <c r="AE830" s="2405"/>
      <c r="AF830" s="2405"/>
      <c r="AG830" s="2405"/>
      <c r="AH830" s="2405"/>
      <c r="AI830" s="2405"/>
      <c r="AJ830" s="2405"/>
      <c r="AK830" s="2405"/>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2656</v>
      </c>
      <c r="C832" s="3"/>
      <c r="D832" s="3"/>
      <c r="E832" s="3"/>
      <c r="F832" s="3"/>
      <c r="G832"/>
      <c r="H832" s="1557" t="s">
        <v>2813</v>
      </c>
      <c r="I832" s="1539"/>
      <c r="J832" s="1539"/>
      <c r="K832" s="1539"/>
      <c r="L832" s="1539"/>
      <c r="M832" s="1539"/>
      <c r="N832" s="1539"/>
      <c r="O832" s="1539"/>
      <c r="P832" s="1539"/>
      <c r="Q832" s="1539"/>
      <c r="R832" s="1539"/>
      <c r="S832"/>
      <c r="T832" s="3" t="s">
        <v>2656</v>
      </c>
      <c r="U832"/>
      <c r="V832" s="3"/>
      <c r="W832" s="3"/>
      <c r="X832" s="3"/>
      <c r="Y832" s="3"/>
      <c r="Z832"/>
      <c r="AA832" s="1572" t="s">
        <v>2814</v>
      </c>
      <c r="AB832" s="1539"/>
      <c r="AC832" s="1539"/>
      <c r="AD832" s="1539"/>
      <c r="AE832" s="1539"/>
      <c r="AF832" s="1539"/>
      <c r="AG832" s="1539"/>
      <c r="AH832" s="1539"/>
      <c r="AI832" s="1539"/>
      <c r="AJ832" s="1539"/>
      <c r="AK832" s="1539"/>
      <c r="AL832" s="350"/>
      <c r="AN832" s="1273"/>
      <c r="AP832"/>
    </row>
    <row r="833" spans="1:42" s="1278" customFormat="1" ht="12.75" customHeight="1">
      <c r="A833" s="22"/>
      <c r="B833" s="3" t="s">
        <v>469</v>
      </c>
      <c r="C833" s="3"/>
      <c r="D833" s="3"/>
      <c r="E833" s="3"/>
      <c r="F833" s="3"/>
      <c r="G833"/>
      <c r="H833" s="1467" t="s">
        <v>2809</v>
      </c>
      <c r="I833" s="1516"/>
      <c r="J833" s="1516"/>
      <c r="K833" s="1516"/>
      <c r="L833" s="1516"/>
      <c r="M833" s="1516"/>
      <c r="N833" s="1516"/>
      <c r="O833" s="1516"/>
      <c r="P833" s="1516"/>
      <c r="Q833" s="1516"/>
      <c r="R833" s="1516"/>
      <c r="S833"/>
      <c r="T833" s="3" t="s">
        <v>469</v>
      </c>
      <c r="U833"/>
      <c r="V833" s="3"/>
      <c r="W833" s="3"/>
      <c r="X833" s="3"/>
      <c r="Y833" s="3"/>
      <c r="Z833"/>
      <c r="AA833" s="1467" t="s">
        <v>2815</v>
      </c>
      <c r="AB833" s="1516"/>
      <c r="AC833" s="1516"/>
      <c r="AD833" s="1516"/>
      <c r="AE833" s="1516"/>
      <c r="AF833" s="1516"/>
      <c r="AG833" s="1516"/>
      <c r="AH833" s="1516"/>
      <c r="AI833" s="1516"/>
      <c r="AJ833" s="1516"/>
      <c r="AK833" s="1516"/>
      <c r="AL833" s="350"/>
      <c r="AM833" s="22"/>
      <c r="AN833" s="1273"/>
      <c r="AO833" s="22"/>
      <c r="AP833" s="39"/>
    </row>
    <row r="834" spans="1:42" s="1278" customFormat="1" ht="12.75" customHeight="1">
      <c r="A834" s="22"/>
      <c r="B834" s="3" t="s">
        <v>2657</v>
      </c>
      <c r="C834" s="3"/>
      <c r="D834" s="3"/>
      <c r="E834" s="3"/>
      <c r="F834" s="3"/>
      <c r="G834"/>
      <c r="H834" s="1467" t="s">
        <v>2800</v>
      </c>
      <c r="I834" s="1516"/>
      <c r="J834" s="1516"/>
      <c r="K834" s="1516"/>
      <c r="L834" s="1516"/>
      <c r="M834" s="1516"/>
      <c r="N834" s="1516"/>
      <c r="O834" s="1516"/>
      <c r="P834" s="1516"/>
      <c r="Q834" s="1516"/>
      <c r="R834" s="1516"/>
      <c r="S834"/>
      <c r="T834" s="3" t="s">
        <v>2657</v>
      </c>
      <c r="U834"/>
      <c r="V834" s="3"/>
      <c r="W834" s="3"/>
      <c r="X834" s="3"/>
      <c r="Y834" s="3"/>
      <c r="Z834"/>
      <c r="AA834" s="1467" t="s">
        <v>2800</v>
      </c>
      <c r="AB834" s="1516"/>
      <c r="AC834" s="1516"/>
      <c r="AD834" s="1516"/>
      <c r="AE834" s="1516"/>
      <c r="AF834" s="1516"/>
      <c r="AG834" s="1516"/>
      <c r="AH834" s="1516"/>
      <c r="AI834" s="1516"/>
      <c r="AJ834" s="1516"/>
      <c r="AK834" s="1516"/>
      <c r="AL834" s="350"/>
      <c r="AM834" s="22"/>
      <c r="AN834" s="1273"/>
      <c r="AO834" s="22"/>
    </row>
    <row r="835" spans="1:42" s="22" customFormat="1" ht="12.75" customHeight="1">
      <c r="B835" s="3" t="s">
        <v>87</v>
      </c>
      <c r="C835" s="3"/>
      <c r="D835" s="3"/>
      <c r="E835" s="3"/>
      <c r="F835" s="3"/>
      <c r="G835"/>
      <c r="H835" s="1467" t="s">
        <v>2810</v>
      </c>
      <c r="I835" s="1516"/>
      <c r="J835" s="1516"/>
      <c r="K835" s="1516"/>
      <c r="L835" s="1516"/>
      <c r="M835" s="1516"/>
      <c r="N835" s="1516"/>
      <c r="O835" s="1516"/>
      <c r="P835" s="1516"/>
      <c r="Q835" s="1516"/>
      <c r="R835" s="1516"/>
      <c r="S835"/>
      <c r="T835" s="3" t="s">
        <v>87</v>
      </c>
      <c r="U835"/>
      <c r="V835" s="3"/>
      <c r="W835" s="3"/>
      <c r="X835" s="3"/>
      <c r="Y835" s="3"/>
      <c r="Z835"/>
      <c r="AA835" s="1467" t="s">
        <v>2816</v>
      </c>
      <c r="AB835" s="1516"/>
      <c r="AC835" s="1516"/>
      <c r="AD835" s="1516"/>
      <c r="AE835" s="1516"/>
      <c r="AF835" s="1516"/>
      <c r="AG835" s="1516"/>
      <c r="AH835" s="1516"/>
      <c r="AI835" s="1516"/>
      <c r="AJ835" s="1516"/>
      <c r="AK835" s="1516"/>
      <c r="AL835" s="350"/>
      <c r="AN835" s="1273"/>
    </row>
    <row r="836" spans="1:42" s="22" customFormat="1" ht="12.75" customHeight="1">
      <c r="B836" s="3" t="s">
        <v>88</v>
      </c>
      <c r="C836" s="3"/>
      <c r="D836" s="3"/>
      <c r="E836" s="3"/>
      <c r="F836" s="3"/>
      <c r="G836" s="3"/>
      <c r="H836" s="1868" t="s">
        <v>2811</v>
      </c>
      <c r="I836" s="1868"/>
      <c r="J836" s="1868"/>
      <c r="K836" s="1868"/>
      <c r="L836" s="1868"/>
      <c r="M836" s="1868"/>
      <c r="N836" s="3" t="s">
        <v>206</v>
      </c>
      <c r="O836" s="3"/>
      <c r="P836" s="1557"/>
      <c r="Q836" s="1557"/>
      <c r="R836" s="1557"/>
      <c r="S836" s="3"/>
      <c r="T836" s="3" t="s">
        <v>88</v>
      </c>
      <c r="U836"/>
      <c r="V836" s="3"/>
      <c r="W836" s="3"/>
      <c r="X836" s="3"/>
      <c r="Y836" s="3"/>
      <c r="Z836"/>
      <c r="AA836" s="1868" t="s">
        <v>2817</v>
      </c>
      <c r="AB836" s="1868"/>
      <c r="AC836" s="1868"/>
      <c r="AD836" s="1868"/>
      <c r="AE836" s="1868"/>
      <c r="AF836" s="1868"/>
      <c r="AG836" s="3" t="s">
        <v>206</v>
      </c>
      <c r="AH836" s="3"/>
      <c r="AI836" s="1557"/>
      <c r="AJ836" s="1557"/>
      <c r="AK836" s="1557"/>
      <c r="AL836" s="350"/>
      <c r="AN836" s="1273"/>
    </row>
    <row r="837" spans="1:42" s="22" customFormat="1" ht="12.75" customHeight="1">
      <c r="B837" s="3" t="s">
        <v>2658</v>
      </c>
      <c r="C837" s="3"/>
      <c r="D837" s="3"/>
      <c r="E837" s="3"/>
      <c r="F837" s="3"/>
      <c r="G837" s="3"/>
      <c r="H837" s="1516"/>
      <c r="I837" s="1516"/>
      <c r="J837" s="1516"/>
      <c r="K837" s="1516"/>
      <c r="L837" s="1516"/>
      <c r="M837" s="1516"/>
      <c r="N837" s="1516"/>
      <c r="O837" s="1516"/>
      <c r="P837" s="1516"/>
      <c r="Q837" s="1516"/>
      <c r="R837" s="1516"/>
      <c r="S837" s="3"/>
      <c r="T837" s="3" t="s">
        <v>2658</v>
      </c>
      <c r="U837"/>
      <c r="V837" s="3"/>
      <c r="W837" s="3"/>
      <c r="X837" s="3"/>
      <c r="Y837" s="3"/>
      <c r="Z837"/>
      <c r="AA837" s="1516"/>
      <c r="AB837" s="1516"/>
      <c r="AC837" s="1516"/>
      <c r="AD837" s="1516"/>
      <c r="AE837" s="1516"/>
      <c r="AF837" s="1516"/>
      <c r="AG837" s="1516"/>
      <c r="AH837" s="1516"/>
      <c r="AI837" s="1516"/>
      <c r="AJ837" s="1516"/>
      <c r="AK837" s="1516"/>
      <c r="AL837" s="350"/>
      <c r="AN837" s="1273"/>
    </row>
    <row r="838" spans="1:42" s="22" customFormat="1" ht="12.75" customHeight="1">
      <c r="B838" s="3" t="s">
        <v>2659</v>
      </c>
      <c r="C838" s="3"/>
      <c r="D838" s="3"/>
      <c r="E838" s="3"/>
      <c r="F838" s="3"/>
      <c r="G838" s="3"/>
      <c r="H838" s="1467" t="s">
        <v>2812</v>
      </c>
      <c r="I838" s="1516"/>
      <c r="J838" s="1516"/>
      <c r="K838" s="1516"/>
      <c r="L838" s="1516"/>
      <c r="M838" s="1516"/>
      <c r="N838" s="1516"/>
      <c r="O838" s="1516"/>
      <c r="P838" s="1516"/>
      <c r="Q838" s="1516"/>
      <c r="R838" s="1516"/>
      <c r="S838" s="3"/>
      <c r="T838" s="3" t="s">
        <v>2659</v>
      </c>
      <c r="U838"/>
      <c r="V838" s="3"/>
      <c r="W838" s="3"/>
      <c r="X838" s="3"/>
      <c r="Y838" s="3"/>
      <c r="Z838"/>
      <c r="AA838" s="1467" t="s">
        <v>2818</v>
      </c>
      <c r="AB838" s="1516"/>
      <c r="AC838" s="1516"/>
      <c r="AD838" s="1516"/>
      <c r="AE838" s="1516"/>
      <c r="AF838" s="1516"/>
      <c r="AG838" s="1516"/>
      <c r="AH838" s="1516"/>
      <c r="AI838" s="1516"/>
      <c r="AJ838" s="1516"/>
      <c r="AK838" s="1516"/>
      <c r="AL838" s="350"/>
      <c r="AN838" s="1273"/>
    </row>
    <row r="839" spans="1:42" s="22" customFormat="1" ht="12.75" customHeight="1">
      <c r="B839" s="3" t="s">
        <v>2660</v>
      </c>
      <c r="C839" s="3"/>
      <c r="D839" s="3"/>
      <c r="E839" s="3"/>
      <c r="F839" s="3"/>
      <c r="G839" s="3"/>
      <c r="H839" s="2405">
        <v>1.5</v>
      </c>
      <c r="I839" s="2405"/>
      <c r="J839" s="2405"/>
      <c r="K839" s="2405"/>
      <c r="L839" s="2405"/>
      <c r="M839" s="2405"/>
      <c r="N839" s="2405"/>
      <c r="O839" s="2405"/>
      <c r="P839" s="2405"/>
      <c r="Q839" s="2405"/>
      <c r="R839" s="2405"/>
      <c r="S839" s="3"/>
      <c r="T839" s="3" t="s">
        <v>2660</v>
      </c>
      <c r="U839" s="3"/>
      <c r="V839" s="3"/>
      <c r="W839" s="3"/>
      <c r="X839" s="3"/>
      <c r="Y839" s="3"/>
      <c r="Z839" s="8"/>
      <c r="AA839" s="2405">
        <v>0.7</v>
      </c>
      <c r="AB839" s="2405"/>
      <c r="AC839" s="2405"/>
      <c r="AD839" s="2405"/>
      <c r="AE839" s="2405"/>
      <c r="AF839" s="2405"/>
      <c r="AG839" s="2405"/>
      <c r="AH839" s="2405"/>
      <c r="AI839" s="2405"/>
      <c r="AJ839" s="2405"/>
      <c r="AK839" s="2405"/>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2656</v>
      </c>
      <c r="C841" s="3"/>
      <c r="D841" s="3"/>
      <c r="E841" s="3"/>
      <c r="F841" s="3"/>
      <c r="G841"/>
      <c r="H841" s="1572" t="s">
        <v>2819</v>
      </c>
      <c r="I841" s="1539"/>
      <c r="J841" s="1539"/>
      <c r="K841" s="1539"/>
      <c r="L841" s="1539"/>
      <c r="M841" s="1539"/>
      <c r="N841" s="1539"/>
      <c r="O841" s="1539"/>
      <c r="P841" s="1539"/>
      <c r="Q841" s="1539"/>
      <c r="R841" s="1539"/>
      <c r="S841"/>
      <c r="T841" s="3" t="s">
        <v>2656</v>
      </c>
      <c r="U841"/>
      <c r="V841" s="3"/>
      <c r="W841" s="3"/>
      <c r="X841" s="3"/>
      <c r="Y841" s="3"/>
      <c r="Z841"/>
      <c r="AA841" s="1539"/>
      <c r="AB841" s="1539"/>
      <c r="AC841" s="1539"/>
      <c r="AD841" s="1539"/>
      <c r="AE841" s="1539"/>
      <c r="AF841" s="1539"/>
      <c r="AG841" s="1539"/>
      <c r="AH841" s="1539"/>
      <c r="AI841" s="1539"/>
      <c r="AJ841" s="1539"/>
      <c r="AK841" s="1539"/>
      <c r="AL841" s="350"/>
      <c r="AN841" s="1273"/>
    </row>
    <row r="842" spans="1:42" s="22" customFormat="1" ht="12.75" customHeight="1">
      <c r="B842" s="3" t="s">
        <v>469</v>
      </c>
      <c r="C842" s="3"/>
      <c r="D842" s="3"/>
      <c r="E842" s="3"/>
      <c r="F842" s="3"/>
      <c r="G842"/>
      <c r="H842" s="1467" t="s">
        <v>2815</v>
      </c>
      <c r="I842" s="1516"/>
      <c r="J842" s="1516"/>
      <c r="K842" s="1516"/>
      <c r="L842" s="1516"/>
      <c r="M842" s="1516"/>
      <c r="N842" s="1516"/>
      <c r="O842" s="1516"/>
      <c r="P842" s="1516"/>
      <c r="Q842" s="1516"/>
      <c r="R842" s="1516"/>
      <c r="S842"/>
      <c r="T842" s="3" t="s">
        <v>469</v>
      </c>
      <c r="U842"/>
      <c r="V842" s="3"/>
      <c r="W842" s="3"/>
      <c r="X842" s="3"/>
      <c r="Y842" s="3"/>
      <c r="Z842"/>
      <c r="AA842" s="1516"/>
      <c r="AB842" s="1516"/>
      <c r="AC842" s="1516"/>
      <c r="AD842" s="1516"/>
      <c r="AE842" s="1516"/>
      <c r="AF842" s="1516"/>
      <c r="AG842" s="1516"/>
      <c r="AH842" s="1516"/>
      <c r="AI842" s="1516"/>
      <c r="AJ842" s="1516"/>
      <c r="AK842" s="1516"/>
      <c r="AL842" s="350"/>
      <c r="AN842" s="1273"/>
    </row>
    <row r="843" spans="1:42" s="22" customFormat="1" ht="12.75" customHeight="1">
      <c r="B843" s="3" t="s">
        <v>2657</v>
      </c>
      <c r="C843" s="3"/>
      <c r="D843" s="3"/>
      <c r="E843" s="3"/>
      <c r="F843" s="3"/>
      <c r="G843"/>
      <c r="H843" s="1467" t="s">
        <v>2800</v>
      </c>
      <c r="I843" s="1516"/>
      <c r="J843" s="1516"/>
      <c r="K843" s="1516"/>
      <c r="L843" s="1516"/>
      <c r="M843" s="1516"/>
      <c r="N843" s="1516"/>
      <c r="O843" s="1516"/>
      <c r="P843" s="1516"/>
      <c r="Q843" s="1516"/>
      <c r="R843" s="1516"/>
      <c r="S843"/>
      <c r="T843" s="3" t="s">
        <v>2657</v>
      </c>
      <c r="U843"/>
      <c r="V843" s="3"/>
      <c r="W843" s="3"/>
      <c r="X843" s="3"/>
      <c r="Y843" s="3"/>
      <c r="Z843"/>
      <c r="AA843" s="1516"/>
      <c r="AB843" s="1516"/>
      <c r="AC843" s="1516"/>
      <c r="AD843" s="1516"/>
      <c r="AE843" s="1516"/>
      <c r="AF843" s="1516"/>
      <c r="AG843" s="1516"/>
      <c r="AH843" s="1516"/>
      <c r="AI843" s="1516"/>
      <c r="AJ843" s="1516"/>
      <c r="AK843" s="1516"/>
      <c r="AL843" s="350"/>
      <c r="AN843" s="1273"/>
    </row>
    <row r="844" spans="1:42" s="22" customFormat="1" ht="12.75" customHeight="1">
      <c r="B844" s="3" t="s">
        <v>87</v>
      </c>
      <c r="C844" s="3"/>
      <c r="D844" s="3"/>
      <c r="E844" s="3"/>
      <c r="F844" s="3"/>
      <c r="G844"/>
      <c r="H844" s="1467" t="s">
        <v>2820</v>
      </c>
      <c r="I844" s="1516"/>
      <c r="J844" s="1516"/>
      <c r="K844" s="1516"/>
      <c r="L844" s="1516"/>
      <c r="M844" s="1516"/>
      <c r="N844" s="1516"/>
      <c r="O844" s="1516"/>
      <c r="P844" s="1516"/>
      <c r="Q844" s="1516"/>
      <c r="R844" s="1516"/>
      <c r="S844"/>
      <c r="T844" s="3" t="s">
        <v>87</v>
      </c>
      <c r="U844"/>
      <c r="V844" s="3"/>
      <c r="W844" s="3"/>
      <c r="X844" s="3"/>
      <c r="Y844" s="3"/>
      <c r="Z844"/>
      <c r="AA844" s="1516"/>
      <c r="AB844" s="1516"/>
      <c r="AC844" s="1516"/>
      <c r="AD844" s="1516"/>
      <c r="AE844" s="1516"/>
      <c r="AF844" s="1516"/>
      <c r="AG844" s="1516"/>
      <c r="AH844" s="1516"/>
      <c r="AI844" s="1516"/>
      <c r="AJ844" s="1516"/>
      <c r="AK844" s="1516"/>
      <c r="AL844" s="350"/>
      <c r="AN844" s="1273"/>
    </row>
    <row r="845" spans="1:42" s="22" customFormat="1" ht="12.75" customHeight="1">
      <c r="B845" s="3" t="s">
        <v>88</v>
      </c>
      <c r="C845" s="3"/>
      <c r="D845" s="3"/>
      <c r="E845" s="3"/>
      <c r="F845" s="3"/>
      <c r="G845" s="3"/>
      <c r="H845" s="1868" t="s">
        <v>2821</v>
      </c>
      <c r="I845" s="1868"/>
      <c r="J845" s="1868"/>
      <c r="K845" s="1868"/>
      <c r="L845" s="1868"/>
      <c r="M845" s="1868"/>
      <c r="N845" s="3" t="s">
        <v>206</v>
      </c>
      <c r="O845" s="3"/>
      <c r="P845" s="1557"/>
      <c r="Q845" s="1557"/>
      <c r="R845" s="1557"/>
      <c r="S845" s="3"/>
      <c r="T845" s="3" t="s">
        <v>88</v>
      </c>
      <c r="U845"/>
      <c r="V845" s="3"/>
      <c r="W845" s="3"/>
      <c r="X845" s="3"/>
      <c r="Y845" s="3"/>
      <c r="Z845"/>
      <c r="AA845" s="1868"/>
      <c r="AB845" s="1868"/>
      <c r="AC845" s="1868"/>
      <c r="AD845" s="1868"/>
      <c r="AE845" s="1868"/>
      <c r="AF845" s="1868"/>
      <c r="AG845" s="3" t="s">
        <v>206</v>
      </c>
      <c r="AH845" s="3"/>
      <c r="AI845" s="1557"/>
      <c r="AJ845" s="1557"/>
      <c r="AK845" s="1557"/>
      <c r="AL845" s="350"/>
      <c r="AN845" s="1273"/>
    </row>
    <row r="846" spans="1:42" s="22" customFormat="1" ht="12.75" customHeight="1">
      <c r="B846" s="3" t="s">
        <v>2658</v>
      </c>
      <c r="C846" s="3"/>
      <c r="D846" s="3"/>
      <c r="E846" s="3"/>
      <c r="F846" s="3"/>
      <c r="G846" s="3"/>
      <c r="H846" s="1516"/>
      <c r="I846" s="1516"/>
      <c r="J846" s="1516"/>
      <c r="K846" s="1516"/>
      <c r="L846" s="1516"/>
      <c r="M846" s="1516"/>
      <c r="N846" s="1516"/>
      <c r="O846" s="1516"/>
      <c r="P846" s="1516"/>
      <c r="Q846" s="1516"/>
      <c r="R846" s="1516"/>
      <c r="S846" s="3"/>
      <c r="T846" s="3" t="s">
        <v>2658</v>
      </c>
      <c r="U846"/>
      <c r="V846" s="3"/>
      <c r="W846" s="3"/>
      <c r="X846" s="3"/>
      <c r="Y846" s="3"/>
      <c r="Z846"/>
      <c r="AA846" s="1516"/>
      <c r="AB846" s="1516"/>
      <c r="AC846" s="1516"/>
      <c r="AD846" s="1516"/>
      <c r="AE846" s="1516"/>
      <c r="AF846" s="1516"/>
      <c r="AG846" s="1516"/>
      <c r="AH846" s="1516"/>
      <c r="AI846" s="1516"/>
      <c r="AJ846" s="1516"/>
      <c r="AK846" s="1516"/>
      <c r="AL846" s="350"/>
      <c r="AN846" s="1273"/>
    </row>
    <row r="847" spans="1:42" s="22" customFormat="1" ht="12.75" customHeight="1">
      <c r="B847" s="3" t="s">
        <v>2659</v>
      </c>
      <c r="C847" s="3"/>
      <c r="D847" s="3"/>
      <c r="E847" s="3"/>
      <c r="F847" s="3"/>
      <c r="G847" s="3"/>
      <c r="H847" s="1467" t="s">
        <v>2822</v>
      </c>
      <c r="I847" s="1516"/>
      <c r="J847" s="1516"/>
      <c r="K847" s="1516"/>
      <c r="L847" s="1516"/>
      <c r="M847" s="1516"/>
      <c r="N847" s="1516"/>
      <c r="O847" s="1516"/>
      <c r="P847" s="1516"/>
      <c r="Q847" s="1516"/>
      <c r="R847" s="1516"/>
      <c r="S847" s="3"/>
      <c r="T847" s="3" t="s">
        <v>2659</v>
      </c>
      <c r="U847"/>
      <c r="V847" s="3"/>
      <c r="W847" s="3"/>
      <c r="X847" s="3"/>
      <c r="Y847" s="3"/>
      <c r="Z847"/>
      <c r="AA847" s="1516"/>
      <c r="AB847" s="1516"/>
      <c r="AC847" s="1516"/>
      <c r="AD847" s="1516"/>
      <c r="AE847" s="1516"/>
      <c r="AF847" s="1516"/>
      <c r="AG847" s="1516"/>
      <c r="AH847" s="1516"/>
      <c r="AI847" s="1516"/>
      <c r="AJ847" s="1516"/>
      <c r="AK847" s="1516"/>
      <c r="AL847" s="350"/>
      <c r="AN847" s="1273"/>
    </row>
    <row r="848" spans="1:42" s="22" customFormat="1" ht="12.75" customHeight="1">
      <c r="B848" s="3" t="s">
        <v>2660</v>
      </c>
      <c r="C848" s="3"/>
      <c r="D848" s="3"/>
      <c r="E848" s="3"/>
      <c r="F848" s="3"/>
      <c r="G848" s="3"/>
      <c r="H848" s="2405">
        <v>0.7</v>
      </c>
      <c r="I848" s="2405"/>
      <c r="J848" s="2405"/>
      <c r="K848" s="2405"/>
      <c r="L848" s="2405"/>
      <c r="M848" s="2405"/>
      <c r="N848" s="2405"/>
      <c r="O848" s="2405"/>
      <c r="P848" s="2405"/>
      <c r="Q848" s="2405"/>
      <c r="R848" s="2405"/>
      <c r="S848" s="3"/>
      <c r="T848" s="3" t="s">
        <v>2660</v>
      </c>
      <c r="U848" s="3"/>
      <c r="V848" s="3"/>
      <c r="W848" s="3"/>
      <c r="X848" s="3"/>
      <c r="Y848" s="3"/>
      <c r="Z848" s="8"/>
      <c r="AA848" s="2405"/>
      <c r="AB848" s="2405"/>
      <c r="AC848" s="2405"/>
      <c r="AD848" s="2405"/>
      <c r="AE848" s="2405"/>
      <c r="AF848" s="2405"/>
      <c r="AG848" s="2405"/>
      <c r="AH848" s="2405"/>
      <c r="AI848" s="2405"/>
      <c r="AJ848" s="2405"/>
      <c r="AK848" s="2405"/>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2656</v>
      </c>
      <c r="C850" s="3"/>
      <c r="D850" s="3"/>
      <c r="E850" s="3"/>
      <c r="F850" s="3"/>
      <c r="G850"/>
      <c r="H850" s="1539"/>
      <c r="I850" s="1539"/>
      <c r="J850" s="1539"/>
      <c r="K850" s="1539"/>
      <c r="L850" s="1539"/>
      <c r="M850" s="1539"/>
      <c r="N850" s="1539"/>
      <c r="O850" s="1539"/>
      <c r="P850" s="1539"/>
      <c r="Q850" s="1539"/>
      <c r="R850" s="1539"/>
      <c r="S850"/>
      <c r="T850" s="3" t="s">
        <v>2656</v>
      </c>
      <c r="U850"/>
      <c r="V850" s="3"/>
      <c r="W850" s="3"/>
      <c r="X850" s="3"/>
      <c r="Y850" s="3"/>
      <c r="Z850"/>
      <c r="AA850" s="1539"/>
      <c r="AB850" s="1539"/>
      <c r="AC850" s="1539"/>
      <c r="AD850" s="1539"/>
      <c r="AE850" s="1539"/>
      <c r="AF850" s="1539"/>
      <c r="AG850" s="1539"/>
      <c r="AH850" s="1539"/>
      <c r="AI850" s="1539"/>
      <c r="AJ850" s="1539"/>
      <c r="AK850" s="1539"/>
      <c r="AL850" s="350"/>
      <c r="AN850" s="1273"/>
    </row>
    <row r="851" spans="2:40" s="22" customFormat="1" ht="12.75" customHeight="1">
      <c r="B851" s="3" t="s">
        <v>469</v>
      </c>
      <c r="C851" s="3"/>
      <c r="D851" s="3"/>
      <c r="E851" s="3"/>
      <c r="F851" s="3"/>
      <c r="G851"/>
      <c r="H851" s="1516"/>
      <c r="I851" s="1516"/>
      <c r="J851" s="1516"/>
      <c r="K851" s="1516"/>
      <c r="L851" s="1516"/>
      <c r="M851" s="1516"/>
      <c r="N851" s="1516"/>
      <c r="O851" s="1516"/>
      <c r="P851" s="1516"/>
      <c r="Q851" s="1516"/>
      <c r="R851" s="1516"/>
      <c r="S851"/>
      <c r="T851" s="3" t="s">
        <v>469</v>
      </c>
      <c r="U851"/>
      <c r="V851" s="3"/>
      <c r="W851" s="3"/>
      <c r="X851" s="3"/>
      <c r="Y851" s="3"/>
      <c r="Z851"/>
      <c r="AA851" s="1516"/>
      <c r="AB851" s="1516"/>
      <c r="AC851" s="1516"/>
      <c r="AD851" s="1516"/>
      <c r="AE851" s="1516"/>
      <c r="AF851" s="1516"/>
      <c r="AG851" s="1516"/>
      <c r="AH851" s="1516"/>
      <c r="AI851" s="1516"/>
      <c r="AJ851" s="1516"/>
      <c r="AK851" s="1516"/>
      <c r="AL851" s="350"/>
      <c r="AN851" s="1273"/>
    </row>
    <row r="852" spans="2:40" s="22" customFormat="1" ht="12.75" customHeight="1">
      <c r="B852" s="3" t="s">
        <v>2657</v>
      </c>
      <c r="C852" s="3"/>
      <c r="D852" s="3"/>
      <c r="E852" s="3"/>
      <c r="F852" s="3"/>
      <c r="G852"/>
      <c r="H852" s="1516"/>
      <c r="I852" s="1516"/>
      <c r="J852" s="1516"/>
      <c r="K852" s="1516"/>
      <c r="L852" s="1516"/>
      <c r="M852" s="1516"/>
      <c r="N852" s="1516"/>
      <c r="O852" s="1516"/>
      <c r="P852" s="1516"/>
      <c r="Q852" s="1516"/>
      <c r="R852" s="1516"/>
      <c r="S852"/>
      <c r="T852" s="3" t="s">
        <v>2657</v>
      </c>
      <c r="U852"/>
      <c r="V852" s="3"/>
      <c r="W852" s="3"/>
      <c r="X852" s="3"/>
      <c r="Y852" s="3"/>
      <c r="Z852"/>
      <c r="AA852" s="1516"/>
      <c r="AB852" s="1516"/>
      <c r="AC852" s="1516"/>
      <c r="AD852" s="1516"/>
      <c r="AE852" s="1516"/>
      <c r="AF852" s="1516"/>
      <c r="AG852" s="1516"/>
      <c r="AH852" s="1516"/>
      <c r="AI852" s="1516"/>
      <c r="AJ852" s="1516"/>
      <c r="AK852" s="1516"/>
      <c r="AL852" s="350"/>
      <c r="AN852" s="1273"/>
    </row>
    <row r="853" spans="2:40" s="22" customFormat="1" ht="12.75" customHeight="1">
      <c r="B853" s="3" t="s">
        <v>87</v>
      </c>
      <c r="C853" s="3"/>
      <c r="D853" s="3"/>
      <c r="E853" s="3"/>
      <c r="F853" s="3"/>
      <c r="G853"/>
      <c r="H853" s="1516"/>
      <c r="I853" s="1516"/>
      <c r="J853" s="1516"/>
      <c r="K853" s="1516"/>
      <c r="L853" s="1516"/>
      <c r="M853" s="1516"/>
      <c r="N853" s="1516"/>
      <c r="O853" s="1516"/>
      <c r="P853" s="1516"/>
      <c r="Q853" s="1516"/>
      <c r="R853" s="1516"/>
      <c r="S853"/>
      <c r="T853" s="3" t="s">
        <v>87</v>
      </c>
      <c r="U853"/>
      <c r="V853" s="3"/>
      <c r="W853" s="3"/>
      <c r="X853" s="3"/>
      <c r="Y853" s="3"/>
      <c r="Z853"/>
      <c r="AA853" s="1516"/>
      <c r="AB853" s="1516"/>
      <c r="AC853" s="1516"/>
      <c r="AD853" s="1516"/>
      <c r="AE853" s="1516"/>
      <c r="AF853" s="1516"/>
      <c r="AG853" s="1516"/>
      <c r="AH853" s="1516"/>
      <c r="AI853" s="1516"/>
      <c r="AJ853" s="1516"/>
      <c r="AK853" s="1516"/>
      <c r="AL853" s="350"/>
      <c r="AN853" s="1273"/>
    </row>
    <row r="854" spans="2:40" s="22" customFormat="1" ht="12.75" customHeight="1">
      <c r="B854" s="3" t="s">
        <v>88</v>
      </c>
      <c r="C854" s="3"/>
      <c r="D854" s="3"/>
      <c r="E854" s="3"/>
      <c r="F854" s="3"/>
      <c r="G854" s="3"/>
      <c r="H854" s="1868"/>
      <c r="I854" s="1868"/>
      <c r="J854" s="1868"/>
      <c r="K854" s="1868"/>
      <c r="L854" s="1868"/>
      <c r="M854" s="1868"/>
      <c r="N854" s="3" t="s">
        <v>206</v>
      </c>
      <c r="O854" s="3"/>
      <c r="P854" s="1557"/>
      <c r="Q854" s="1557"/>
      <c r="R854" s="1557"/>
      <c r="S854" s="3"/>
      <c r="T854" s="3" t="s">
        <v>88</v>
      </c>
      <c r="U854"/>
      <c r="V854" s="3"/>
      <c r="W854" s="3"/>
      <c r="X854" s="3"/>
      <c r="Y854" s="3"/>
      <c r="Z854"/>
      <c r="AA854" s="1868"/>
      <c r="AB854" s="1868"/>
      <c r="AC854" s="1868"/>
      <c r="AD854" s="1868"/>
      <c r="AE854" s="1868"/>
      <c r="AF854" s="1868"/>
      <c r="AG854" s="3" t="s">
        <v>206</v>
      </c>
      <c r="AH854" s="3"/>
      <c r="AI854" s="1557"/>
      <c r="AJ854" s="1557"/>
      <c r="AK854" s="1557"/>
      <c r="AL854" s="350"/>
      <c r="AN854" s="1273"/>
    </row>
    <row r="855" spans="2:40" s="22" customFormat="1" ht="12.75" customHeight="1">
      <c r="B855" s="3" t="s">
        <v>2658</v>
      </c>
      <c r="C855" s="3"/>
      <c r="D855" s="3"/>
      <c r="E855" s="3"/>
      <c r="F855" s="3"/>
      <c r="G855" s="3"/>
      <c r="H855" s="1516"/>
      <c r="I855" s="1516"/>
      <c r="J855" s="1516"/>
      <c r="K855" s="1516"/>
      <c r="L855" s="1516"/>
      <c r="M855" s="1516"/>
      <c r="N855" s="1516"/>
      <c r="O855" s="1516"/>
      <c r="P855" s="1516"/>
      <c r="Q855" s="1516"/>
      <c r="R855" s="1516"/>
      <c r="S855" s="3"/>
      <c r="T855" s="3" t="s">
        <v>2658</v>
      </c>
      <c r="U855"/>
      <c r="V855" s="3"/>
      <c r="W855" s="3"/>
      <c r="X855" s="3"/>
      <c r="Y855" s="3"/>
      <c r="Z855"/>
      <c r="AA855" s="1516"/>
      <c r="AB855" s="1516"/>
      <c r="AC855" s="1516"/>
      <c r="AD855" s="1516"/>
      <c r="AE855" s="1516"/>
      <c r="AF855" s="1516"/>
      <c r="AG855" s="1516"/>
      <c r="AH855" s="1516"/>
      <c r="AI855" s="1516"/>
      <c r="AJ855" s="1516"/>
      <c r="AK855" s="1516"/>
      <c r="AL855" s="350"/>
      <c r="AN855" s="1273"/>
    </row>
    <row r="856" spans="2:40" s="22" customFormat="1" ht="12.75" customHeight="1">
      <c r="B856" s="3" t="s">
        <v>2659</v>
      </c>
      <c r="C856" s="3"/>
      <c r="D856" s="3"/>
      <c r="E856" s="3"/>
      <c r="F856" s="3"/>
      <c r="G856" s="3"/>
      <c r="H856" s="1516"/>
      <c r="I856" s="1516"/>
      <c r="J856" s="1516"/>
      <c r="K856" s="1516"/>
      <c r="L856" s="1516"/>
      <c r="M856" s="1516"/>
      <c r="N856" s="1516"/>
      <c r="O856" s="1516"/>
      <c r="P856" s="1516"/>
      <c r="Q856" s="1516"/>
      <c r="R856" s="1516"/>
      <c r="S856" s="3"/>
      <c r="T856" s="3" t="s">
        <v>2659</v>
      </c>
      <c r="U856"/>
      <c r="V856" s="3"/>
      <c r="W856" s="3"/>
      <c r="X856" s="3"/>
      <c r="Y856" s="3"/>
      <c r="Z856"/>
      <c r="AA856" s="1516"/>
      <c r="AB856" s="1516"/>
      <c r="AC856" s="1516"/>
      <c r="AD856" s="1516"/>
      <c r="AE856" s="1516"/>
      <c r="AF856" s="1516"/>
      <c r="AG856" s="1516"/>
      <c r="AH856" s="1516"/>
      <c r="AI856" s="1516"/>
      <c r="AJ856" s="1516"/>
      <c r="AK856" s="1516"/>
      <c r="AL856" s="350"/>
      <c r="AN856" s="1273"/>
    </row>
    <row r="857" spans="2:40" s="22" customFormat="1" ht="12.75" customHeight="1">
      <c r="B857" s="3" t="s">
        <v>2660</v>
      </c>
      <c r="C857" s="3"/>
      <c r="D857" s="3"/>
      <c r="E857" s="3"/>
      <c r="F857" s="3"/>
      <c r="G857" s="3"/>
      <c r="H857" s="2405"/>
      <c r="I857" s="2405"/>
      <c r="J857" s="2405"/>
      <c r="K857" s="2405"/>
      <c r="L857" s="2405"/>
      <c r="M857" s="2405"/>
      <c r="N857" s="2405"/>
      <c r="O857" s="2405"/>
      <c r="P857" s="2405"/>
      <c r="Q857" s="2405"/>
      <c r="R857" s="2405"/>
      <c r="S857" s="3"/>
      <c r="T857" s="3" t="s">
        <v>2660</v>
      </c>
      <c r="U857" s="3"/>
      <c r="V857" s="3"/>
      <c r="W857" s="3"/>
      <c r="X857" s="3"/>
      <c r="Y857" s="3"/>
      <c r="Z857" s="8"/>
      <c r="AA857" s="2405"/>
      <c r="AB857" s="2405"/>
      <c r="AC857" s="2405"/>
      <c r="AD857" s="2405"/>
      <c r="AE857" s="2405"/>
      <c r="AF857" s="2405"/>
      <c r="AG857" s="2405"/>
      <c r="AH857" s="2405"/>
      <c r="AI857" s="2405"/>
      <c r="AJ857" s="2405"/>
      <c r="AK857" s="2405"/>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2656</v>
      </c>
      <c r="C859" s="3"/>
      <c r="D859" s="3"/>
      <c r="E859" s="3"/>
      <c r="F859" s="3"/>
      <c r="G859"/>
      <c r="H859" s="1539"/>
      <c r="I859" s="1539"/>
      <c r="J859" s="1539"/>
      <c r="K859" s="1539"/>
      <c r="L859" s="1539"/>
      <c r="M859" s="1539"/>
      <c r="N859" s="1539"/>
      <c r="O859" s="1539"/>
      <c r="P859" s="1539"/>
      <c r="Q859" s="1539"/>
      <c r="R859" s="1539"/>
      <c r="S859"/>
      <c r="T859" s="3" t="s">
        <v>2656</v>
      </c>
      <c r="U859"/>
      <c r="V859" s="3"/>
      <c r="W859" s="3"/>
      <c r="X859" s="3"/>
      <c r="Y859" s="3"/>
      <c r="Z859"/>
      <c r="AA859" s="1539"/>
      <c r="AB859" s="1539"/>
      <c r="AC859" s="1539"/>
      <c r="AD859" s="1539"/>
      <c r="AE859" s="1539"/>
      <c r="AF859" s="1539"/>
      <c r="AG859" s="1539"/>
      <c r="AH859" s="1539"/>
      <c r="AI859" s="1539"/>
      <c r="AJ859" s="1539"/>
      <c r="AK859" s="1539"/>
      <c r="AL859" s="3"/>
      <c r="AN859" s="1273"/>
    </row>
    <row r="860" spans="2:40" s="22" customFormat="1" ht="12.75" customHeight="1">
      <c r="B860" s="3" t="s">
        <v>469</v>
      </c>
      <c r="C860" s="3"/>
      <c r="D860" s="3"/>
      <c r="E860" s="3"/>
      <c r="F860" s="3"/>
      <c r="G860"/>
      <c r="H860" s="1516"/>
      <c r="I860" s="1516"/>
      <c r="J860" s="1516"/>
      <c r="K860" s="1516"/>
      <c r="L860" s="1516"/>
      <c r="M860" s="1516"/>
      <c r="N860" s="1516"/>
      <c r="O860" s="1516"/>
      <c r="P860" s="1516"/>
      <c r="Q860" s="1516"/>
      <c r="R860" s="1516"/>
      <c r="S860"/>
      <c r="T860" s="3" t="s">
        <v>469</v>
      </c>
      <c r="U860"/>
      <c r="V860" s="3"/>
      <c r="W860" s="3"/>
      <c r="X860" s="3"/>
      <c r="Y860" s="3"/>
      <c r="Z860"/>
      <c r="AA860" s="1516"/>
      <c r="AB860" s="1516"/>
      <c r="AC860" s="1516"/>
      <c r="AD860" s="1516"/>
      <c r="AE860" s="1516"/>
      <c r="AF860" s="1516"/>
      <c r="AG860" s="1516"/>
      <c r="AH860" s="1516"/>
      <c r="AI860" s="1516"/>
      <c r="AJ860" s="1516"/>
      <c r="AK860" s="1516"/>
      <c r="AL860" s="3"/>
      <c r="AN860" s="1273"/>
    </row>
    <row r="861" spans="2:40" s="22" customFormat="1" ht="18" customHeight="1">
      <c r="B861" s="3" t="s">
        <v>2657</v>
      </c>
      <c r="C861" s="3"/>
      <c r="D861" s="3"/>
      <c r="E861" s="3"/>
      <c r="F861" s="3"/>
      <c r="G861"/>
      <c r="H861" s="1516"/>
      <c r="I861" s="1516"/>
      <c r="J861" s="1516"/>
      <c r="K861" s="1516"/>
      <c r="L861" s="1516"/>
      <c r="M861" s="1516"/>
      <c r="N861" s="1516"/>
      <c r="O861" s="1516"/>
      <c r="P861" s="1516"/>
      <c r="Q861" s="1516"/>
      <c r="R861" s="1516"/>
      <c r="S861"/>
      <c r="T861" s="3" t="s">
        <v>2657</v>
      </c>
      <c r="U861"/>
      <c r="V861" s="3"/>
      <c r="W861" s="3"/>
      <c r="X861" s="3"/>
      <c r="Y861" s="3"/>
      <c r="Z861"/>
      <c r="AA861" s="1516"/>
      <c r="AB861" s="1516"/>
      <c r="AC861" s="1516"/>
      <c r="AD861" s="1516"/>
      <c r="AE861" s="1516"/>
      <c r="AF861" s="1516"/>
      <c r="AG861" s="1516"/>
      <c r="AH861" s="1516"/>
      <c r="AI861" s="1516"/>
      <c r="AJ861" s="1516"/>
      <c r="AK861" s="1516"/>
      <c r="AL861" s="3"/>
      <c r="AN861" s="1273"/>
    </row>
    <row r="862" spans="2:40" s="22" customFormat="1" ht="12.75" customHeight="1">
      <c r="B862" s="3" t="s">
        <v>87</v>
      </c>
      <c r="C862" s="3"/>
      <c r="D862" s="3"/>
      <c r="E862" s="3"/>
      <c r="F862" s="3"/>
      <c r="G862"/>
      <c r="H862" s="1516"/>
      <c r="I862" s="1516"/>
      <c r="J862" s="1516"/>
      <c r="K862" s="1516"/>
      <c r="L862" s="1516"/>
      <c r="M862" s="1516"/>
      <c r="N862" s="1516"/>
      <c r="O862" s="1516"/>
      <c r="P862" s="1516"/>
      <c r="Q862" s="1516"/>
      <c r="R862" s="1516"/>
      <c r="S862"/>
      <c r="T862" s="3" t="s">
        <v>87</v>
      </c>
      <c r="U862"/>
      <c r="V862" s="3"/>
      <c r="W862" s="3"/>
      <c r="X862" s="3"/>
      <c r="Y862" s="3"/>
      <c r="Z862"/>
      <c r="AA862" s="1516"/>
      <c r="AB862" s="1516"/>
      <c r="AC862" s="1516"/>
      <c r="AD862" s="1516"/>
      <c r="AE862" s="1516"/>
      <c r="AF862" s="1516"/>
      <c r="AG862" s="1516"/>
      <c r="AH862" s="1516"/>
      <c r="AI862" s="1516"/>
      <c r="AJ862" s="1516"/>
      <c r="AK862" s="1516"/>
      <c r="AL862" s="3"/>
      <c r="AN862" s="1273"/>
    </row>
    <row r="863" spans="2:40" s="22" customFormat="1" ht="12.75" customHeight="1">
      <c r="B863" s="3" t="s">
        <v>88</v>
      </c>
      <c r="C863" s="3"/>
      <c r="D863" s="3"/>
      <c r="E863" s="3"/>
      <c r="F863" s="3"/>
      <c r="G863" s="3"/>
      <c r="H863" s="1868"/>
      <c r="I863" s="1868"/>
      <c r="J863" s="1868"/>
      <c r="K863" s="1868"/>
      <c r="L863" s="1868"/>
      <c r="M863" s="1868"/>
      <c r="N863" s="3" t="s">
        <v>206</v>
      </c>
      <c r="O863" s="3"/>
      <c r="P863" s="1557"/>
      <c r="Q863" s="1557"/>
      <c r="R863" s="1557"/>
      <c r="S863" s="3"/>
      <c r="T863" s="3" t="s">
        <v>88</v>
      </c>
      <c r="U863"/>
      <c r="V863" s="3"/>
      <c r="W863" s="3"/>
      <c r="X863" s="3"/>
      <c r="Y863" s="3"/>
      <c r="Z863"/>
      <c r="AA863" s="1868"/>
      <c r="AB863" s="1868"/>
      <c r="AC863" s="1868"/>
      <c r="AD863" s="1868"/>
      <c r="AE863" s="1868"/>
      <c r="AF863" s="1868"/>
      <c r="AG863" s="3" t="s">
        <v>206</v>
      </c>
      <c r="AH863" s="3"/>
      <c r="AI863" s="1557"/>
      <c r="AJ863" s="1557"/>
      <c r="AK863" s="1557"/>
      <c r="AL863" s="3"/>
      <c r="AN863" s="1273"/>
    </row>
    <row r="864" spans="2:40" s="22" customFormat="1" ht="12.75" customHeight="1">
      <c r="B864" s="3" t="s">
        <v>2658</v>
      </c>
      <c r="C864" s="3"/>
      <c r="D864" s="3"/>
      <c r="E864" s="3"/>
      <c r="F864" s="3"/>
      <c r="G864" s="3"/>
      <c r="H864" s="1516"/>
      <c r="I864" s="1516"/>
      <c r="J864" s="1516"/>
      <c r="K864" s="1516"/>
      <c r="L864" s="1516"/>
      <c r="M864" s="1516"/>
      <c r="N864" s="1516"/>
      <c r="O864" s="1516"/>
      <c r="P864" s="1516"/>
      <c r="Q864" s="1516"/>
      <c r="R864" s="1516"/>
      <c r="S864" s="3"/>
      <c r="T864" s="3" t="s">
        <v>2658</v>
      </c>
      <c r="U864"/>
      <c r="V864" s="3"/>
      <c r="W864" s="3"/>
      <c r="X864" s="3"/>
      <c r="Y864" s="3"/>
      <c r="Z864"/>
      <c r="AA864" s="1516"/>
      <c r="AB864" s="1516"/>
      <c r="AC864" s="1516"/>
      <c r="AD864" s="1516"/>
      <c r="AE864" s="1516"/>
      <c r="AF864" s="1516"/>
      <c r="AG864" s="1516"/>
      <c r="AH864" s="1516"/>
      <c r="AI864" s="1516"/>
      <c r="AJ864" s="1516"/>
      <c r="AK864" s="1516"/>
      <c r="AL864" s="3"/>
      <c r="AN864" s="1273"/>
    </row>
    <row r="865" spans="1:43" s="22" customFormat="1" ht="12.75" customHeight="1">
      <c r="B865" s="3" t="s">
        <v>2659</v>
      </c>
      <c r="C865" s="3"/>
      <c r="D865" s="3"/>
      <c r="E865" s="3"/>
      <c r="F865" s="3"/>
      <c r="G865" s="3"/>
      <c r="H865" s="1516"/>
      <c r="I865" s="1516"/>
      <c r="J865" s="1516"/>
      <c r="K865" s="1516"/>
      <c r="L865" s="1516"/>
      <c r="M865" s="1516"/>
      <c r="N865" s="1516"/>
      <c r="O865" s="1516"/>
      <c r="P865" s="1516"/>
      <c r="Q865" s="1516"/>
      <c r="R865" s="1516"/>
      <c r="S865" s="3"/>
      <c r="T865" s="3" t="s">
        <v>2659</v>
      </c>
      <c r="U865"/>
      <c r="V865" s="3"/>
      <c r="W865" s="3"/>
      <c r="X865" s="3"/>
      <c r="Y865" s="3"/>
      <c r="Z865"/>
      <c r="AA865" s="1516"/>
      <c r="AB865" s="1516"/>
      <c r="AC865" s="1516"/>
      <c r="AD865" s="1516"/>
      <c r="AE865" s="1516"/>
      <c r="AF865" s="1516"/>
      <c r="AG865" s="1516"/>
      <c r="AH865" s="1516"/>
      <c r="AI865" s="1516"/>
      <c r="AJ865" s="1516"/>
      <c r="AK865" s="1516"/>
      <c r="AL865" s="3"/>
      <c r="AN865" s="1273"/>
    </row>
    <row r="866" spans="1:43" s="22" customFormat="1" ht="12.75" customHeight="1">
      <c r="B866" s="3" t="s">
        <v>2660</v>
      </c>
      <c r="C866" s="3"/>
      <c r="D866" s="3"/>
      <c r="E866" s="3"/>
      <c r="F866" s="3"/>
      <c r="G866" s="3"/>
      <c r="H866" s="2405"/>
      <c r="I866" s="2405"/>
      <c r="J866" s="2405"/>
      <c r="K866" s="2405"/>
      <c r="L866" s="2405"/>
      <c r="M866" s="2405"/>
      <c r="N866" s="2405"/>
      <c r="O866" s="2405"/>
      <c r="P866" s="2405"/>
      <c r="Q866" s="2405"/>
      <c r="R866" s="2405"/>
      <c r="S866" s="3"/>
      <c r="T866" s="3" t="s">
        <v>2660</v>
      </c>
      <c r="U866" s="3"/>
      <c r="V866" s="3"/>
      <c r="W866" s="3"/>
      <c r="X866" s="3"/>
      <c r="Y866" s="3"/>
      <c r="Z866" s="8"/>
      <c r="AA866" s="2405"/>
      <c r="AB866" s="2405"/>
      <c r="AC866" s="2405"/>
      <c r="AD866" s="2405"/>
      <c r="AE866" s="2405"/>
      <c r="AF866" s="2405"/>
      <c r="AG866" s="2405"/>
      <c r="AH866" s="2405"/>
      <c r="AI866" s="2405"/>
      <c r="AJ866" s="2405"/>
      <c r="AK866" s="2405"/>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3.8"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2" t="s">
        <v>1555</v>
      </c>
      <c r="B869" s="2583"/>
      <c r="C869" s="2583"/>
      <c r="D869" s="2583"/>
      <c r="E869" s="2583"/>
      <c r="F869" s="2583"/>
      <c r="G869" s="2583"/>
      <c r="H869" s="2583"/>
      <c r="I869" s="2583"/>
      <c r="J869" s="2583"/>
      <c r="K869" s="2583"/>
      <c r="L869" s="2583"/>
      <c r="M869" s="2583"/>
      <c r="N869" s="2583"/>
      <c r="O869" s="2583"/>
      <c r="P869" s="2583"/>
      <c r="Q869" s="2583"/>
      <c r="R869" s="2583"/>
      <c r="S869" s="2583"/>
      <c r="T869" s="2583"/>
      <c r="U869" s="2583"/>
      <c r="V869" s="2583"/>
      <c r="W869" s="2583"/>
      <c r="X869" s="2583"/>
      <c r="Y869" s="2583"/>
      <c r="Z869" s="2583"/>
      <c r="AA869" s="2583"/>
      <c r="AB869" s="2583"/>
      <c r="AC869" s="2583"/>
      <c r="AD869" s="2583"/>
      <c r="AE869" s="2583"/>
      <c r="AF869" s="2583"/>
      <c r="AG869" s="2583"/>
      <c r="AH869" s="2583"/>
      <c r="AI869" s="2583"/>
      <c r="AJ869" s="2583"/>
      <c r="AK869" s="2583"/>
      <c r="AL869" s="2583"/>
      <c r="AM869" s="2583"/>
    </row>
    <row r="870" spans="1:43">
      <c r="A870" s="2584"/>
      <c r="B870" s="2584"/>
      <c r="C870" s="2584"/>
      <c r="D870" s="2584"/>
      <c r="E870" s="2584"/>
      <c r="F870" s="2584"/>
      <c r="G870" s="2584"/>
      <c r="H870" s="2584"/>
      <c r="I870" s="2584"/>
      <c r="J870" s="2584"/>
      <c r="K870" s="2584"/>
      <c r="L870" s="2584"/>
      <c r="M870" s="2584"/>
      <c r="N870" s="2584"/>
      <c r="O870" s="2584"/>
      <c r="P870" s="2584"/>
      <c r="Q870" s="2584"/>
      <c r="R870" s="2584"/>
      <c r="S870" s="2584"/>
      <c r="T870" s="2584"/>
      <c r="U870" s="2584"/>
      <c r="V870" s="2584"/>
      <c r="W870" s="2584"/>
      <c r="X870" s="2584"/>
      <c r="Y870" s="2584"/>
      <c r="Z870" s="2584"/>
      <c r="AA870" s="2584"/>
      <c r="AB870" s="2584"/>
      <c r="AC870" s="2584"/>
      <c r="AD870" s="2584"/>
      <c r="AE870" s="2584"/>
      <c r="AF870" s="2584"/>
      <c r="AG870" s="2584"/>
      <c r="AH870" s="2584"/>
      <c r="AI870" s="2584"/>
      <c r="AJ870" s="2584"/>
      <c r="AK870" s="2584"/>
      <c r="AL870" s="2584"/>
      <c r="AM870" s="2584"/>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3"/>
      <c r="B872" s="2533"/>
      <c r="C872" s="2533"/>
      <c r="D872" s="2533"/>
      <c r="E872" s="2533"/>
      <c r="F872" s="2533"/>
      <c r="G872" s="2533"/>
      <c r="H872" s="2533"/>
      <c r="I872" s="2533"/>
      <c r="J872" s="2533"/>
      <c r="K872" s="2533"/>
      <c r="L872" s="2533"/>
      <c r="M872" s="2533"/>
      <c r="N872" s="2533"/>
      <c r="O872" s="2533"/>
      <c r="P872" s="2533"/>
      <c r="Q872" s="2533"/>
      <c r="R872" s="2533"/>
      <c r="S872" s="2533"/>
      <c r="T872" s="2533"/>
      <c r="U872" s="2533"/>
      <c r="V872" s="2533"/>
      <c r="W872" s="2533"/>
      <c r="X872" s="2533"/>
      <c r="Y872" s="2533"/>
      <c r="Z872" s="2533"/>
      <c r="AA872" s="2533"/>
      <c r="AB872" s="2533"/>
      <c r="AC872" s="2533"/>
      <c r="AD872" s="2533"/>
      <c r="AE872" s="2533"/>
      <c r="AF872" s="2533"/>
      <c r="AG872" s="2533"/>
      <c r="AH872" s="2533"/>
      <c r="AI872" s="2533"/>
      <c r="AJ872" s="2533"/>
      <c r="AK872" s="2533"/>
      <c r="AL872" s="2533"/>
      <c r="AM872" s="2533"/>
      <c r="AP872" s="807"/>
      <c r="AQ872" s="807"/>
    </row>
    <row r="873" spans="1:43">
      <c r="A873" s="2533"/>
      <c r="B873" s="2533"/>
      <c r="C873" s="2533"/>
      <c r="D873" s="2533"/>
      <c r="E873" s="2533"/>
      <c r="F873" s="2533"/>
      <c r="G873" s="2533"/>
      <c r="H873" s="2533"/>
      <c r="I873" s="2533"/>
      <c r="J873" s="2533"/>
      <c r="K873" s="2533"/>
      <c r="L873" s="2533"/>
      <c r="M873" s="2533"/>
      <c r="N873" s="2533"/>
      <c r="O873" s="2533"/>
      <c r="P873" s="2533"/>
      <c r="Q873" s="2533"/>
      <c r="R873" s="2533"/>
      <c r="S873" s="2533"/>
      <c r="T873" s="2533"/>
      <c r="U873" s="2533"/>
      <c r="V873" s="2533"/>
      <c r="W873" s="2533"/>
      <c r="X873" s="2533"/>
      <c r="Y873" s="2533"/>
      <c r="Z873" s="2533"/>
      <c r="AA873" s="2533"/>
      <c r="AB873" s="2533"/>
      <c r="AC873" s="2533"/>
      <c r="AD873" s="2533"/>
      <c r="AE873" s="2533"/>
      <c r="AF873" s="2533"/>
      <c r="AG873" s="2533"/>
      <c r="AH873" s="2533"/>
      <c r="AI873" s="2533"/>
      <c r="AJ873" s="2533"/>
      <c r="AK873" s="2533"/>
      <c r="AL873" s="2533"/>
      <c r="AM873" s="2533"/>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5" t="s">
        <v>1556</v>
      </c>
      <c r="U874" s="2586"/>
      <c r="V874" s="2586"/>
      <c r="W874" s="2586"/>
      <c r="X874" s="2586"/>
      <c r="Y874" s="2587"/>
      <c r="Z874" s="2585" t="s">
        <v>1557</v>
      </c>
      <c r="AA874" s="2586"/>
      <c r="AB874" s="2586"/>
      <c r="AC874" s="2586"/>
      <c r="AD874" s="2586"/>
      <c r="AE874" s="2587"/>
      <c r="AF874" s="2585" t="s">
        <v>1558</v>
      </c>
      <c r="AG874" s="2586"/>
      <c r="AH874" s="2586"/>
      <c r="AI874" s="2586"/>
      <c r="AJ874" s="2586"/>
      <c r="AK874" s="2587"/>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88"/>
      <c r="U875" s="2589"/>
      <c r="V875" s="2589"/>
      <c r="W875" s="2589"/>
      <c r="X875" s="2589"/>
      <c r="Y875" s="2590"/>
      <c r="Z875" s="2588"/>
      <c r="AA875" s="2589"/>
      <c r="AB875" s="2589"/>
      <c r="AC875" s="2589"/>
      <c r="AD875" s="2589"/>
      <c r="AE875" s="2590"/>
      <c r="AF875" s="2588"/>
      <c r="AG875" s="2589"/>
      <c r="AH875" s="2589"/>
      <c r="AI875" s="2589"/>
      <c r="AJ875" s="2589"/>
      <c r="AK875" s="2590"/>
      <c r="AL875" s="809"/>
      <c r="AM875" s="589"/>
      <c r="AO875" s="807"/>
      <c r="AP875" s="807"/>
      <c r="AQ875" s="807"/>
    </row>
    <row r="876" spans="1:43">
      <c r="A876" s="810" t="s">
        <v>755</v>
      </c>
      <c r="B876" s="2565" t="str">
        <f>B7</f>
        <v xml:space="preserve">Acquisition/Rehabilitation Project Priorities </v>
      </c>
      <c r="C876" s="2565"/>
      <c r="D876" s="2565"/>
      <c r="E876" s="2565"/>
      <c r="F876" s="2565"/>
      <c r="G876" s="2565"/>
      <c r="H876" s="2565"/>
      <c r="I876" s="2565"/>
      <c r="J876" s="2565"/>
      <c r="K876" s="2565"/>
      <c r="L876" s="2565"/>
      <c r="M876" s="2565"/>
      <c r="N876" s="2565"/>
      <c r="O876" s="2565"/>
      <c r="P876" s="2565"/>
      <c r="Q876" s="2565"/>
      <c r="R876" s="2565"/>
      <c r="S876" s="2566"/>
      <c r="T876" s="2567">
        <f>AK61</f>
        <v>0</v>
      </c>
      <c r="U876" s="2568"/>
      <c r="V876" s="2568"/>
      <c r="W876" s="2568"/>
      <c r="X876" s="2568"/>
      <c r="Y876" s="2569"/>
      <c r="Z876" s="2570">
        <v>20</v>
      </c>
      <c r="AA876" s="2568"/>
      <c r="AB876" s="2568"/>
      <c r="AC876" s="2568"/>
      <c r="AD876" s="2568"/>
      <c r="AE876" s="2569"/>
      <c r="AF876" s="2563">
        <f>IF(T876&gt;Z876,Z876,T876)</f>
        <v>0</v>
      </c>
      <c r="AG876" s="2563"/>
      <c r="AH876" s="2563"/>
      <c r="AI876" s="2563"/>
      <c r="AJ876" s="2563"/>
      <c r="AK876" s="2563"/>
      <c r="AL876" s="809"/>
      <c r="AM876" s="589"/>
      <c r="AO876" s="807"/>
      <c r="AP876" s="807"/>
      <c r="AQ876" s="807"/>
    </row>
    <row r="877" spans="1:43">
      <c r="A877" s="810" t="s">
        <v>1529</v>
      </c>
      <c r="B877" s="2565" t="s">
        <v>1304</v>
      </c>
      <c r="C877" s="2565"/>
      <c r="D877" s="2565"/>
      <c r="E877" s="2565"/>
      <c r="F877" s="2565"/>
      <c r="G877" s="2565"/>
      <c r="H877" s="2565"/>
      <c r="I877" s="2565"/>
      <c r="J877" s="2565"/>
      <c r="K877" s="2565"/>
      <c r="L877" s="2565"/>
      <c r="M877" s="2565"/>
      <c r="N877" s="2565"/>
      <c r="O877" s="2565"/>
      <c r="P877" s="2565"/>
      <c r="Q877" s="2565"/>
      <c r="R877" s="2565"/>
      <c r="S877" s="2566"/>
      <c r="T877" s="2567">
        <f>AK83</f>
        <v>10</v>
      </c>
      <c r="U877" s="2568"/>
      <c r="V877" s="2568"/>
      <c r="W877" s="2568"/>
      <c r="X877" s="2568"/>
      <c r="Y877" s="2569"/>
      <c r="Z877" s="2570">
        <v>10</v>
      </c>
      <c r="AA877" s="2568"/>
      <c r="AB877" s="2568"/>
      <c r="AC877" s="2568"/>
      <c r="AD877" s="2568"/>
      <c r="AE877" s="2569"/>
      <c r="AF877" s="2563">
        <f>IF(T877&gt;Z877,Z877,T877)</f>
        <v>10</v>
      </c>
      <c r="AG877" s="2563"/>
      <c r="AH877" s="2563"/>
      <c r="AI877" s="2563"/>
      <c r="AJ877" s="2563"/>
      <c r="AK877" s="2563"/>
      <c r="AL877" s="809"/>
      <c r="AM877" s="589"/>
      <c r="AO877" s="807"/>
      <c r="AP877" s="807"/>
      <c r="AQ877" s="807"/>
    </row>
    <row r="878" spans="1:43">
      <c r="A878" s="810" t="s">
        <v>1538</v>
      </c>
      <c r="B878" s="2565" t="s">
        <v>1314</v>
      </c>
      <c r="C878" s="2565"/>
      <c r="D878" s="2565"/>
      <c r="E878" s="2565"/>
      <c r="F878" s="2565"/>
      <c r="G878" s="2565"/>
      <c r="H878" s="2565"/>
      <c r="I878" s="2565"/>
      <c r="J878" s="2565"/>
      <c r="K878" s="2565"/>
      <c r="L878" s="2565"/>
      <c r="M878" s="2565"/>
      <c r="N878" s="2565"/>
      <c r="O878" s="2565"/>
      <c r="P878" s="2565"/>
      <c r="Q878" s="2565"/>
      <c r="R878" s="2565"/>
      <c r="S878" s="2566"/>
      <c r="T878" s="2567">
        <f ca="1">AK108</f>
        <v>20</v>
      </c>
      <c r="U878" s="2568"/>
      <c r="V878" s="2568"/>
      <c r="W878" s="2568"/>
      <c r="X878" s="2568"/>
      <c r="Y878" s="2569"/>
      <c r="Z878" s="2570">
        <v>20</v>
      </c>
      <c r="AA878" s="2568"/>
      <c r="AB878" s="2568"/>
      <c r="AC878" s="2568"/>
      <c r="AD878" s="2568"/>
      <c r="AE878" s="2569"/>
      <c r="AF878" s="2563">
        <f ca="1">IF(T878&gt;Z878,Z878,T878)</f>
        <v>20</v>
      </c>
      <c r="AG878" s="2563"/>
      <c r="AH878" s="2563"/>
      <c r="AI878" s="2563"/>
      <c r="AJ878" s="2563"/>
      <c r="AK878" s="2563"/>
      <c r="AL878" s="809"/>
      <c r="AM878" s="589"/>
      <c r="AO878" s="807"/>
      <c r="AP878" s="807"/>
      <c r="AQ878" s="807"/>
    </row>
    <row r="879" spans="1:43">
      <c r="A879" s="810" t="s">
        <v>1559</v>
      </c>
      <c r="B879" s="2565" t="s">
        <v>1324</v>
      </c>
      <c r="C879" s="2565"/>
      <c r="D879" s="2565"/>
      <c r="E879" s="2565"/>
      <c r="F879" s="2565"/>
      <c r="G879" s="2565"/>
      <c r="H879" s="2565"/>
      <c r="I879" s="2565"/>
      <c r="J879" s="2565"/>
      <c r="K879" s="2565"/>
      <c r="L879" s="2565"/>
      <c r="M879" s="2565"/>
      <c r="N879" s="2565"/>
      <c r="O879" s="2565"/>
      <c r="P879" s="2565"/>
      <c r="Q879" s="2565"/>
      <c r="R879" s="2565"/>
      <c r="S879" s="2566"/>
      <c r="T879" s="2567">
        <f>AK142</f>
        <v>10</v>
      </c>
      <c r="U879" s="2568"/>
      <c r="V879" s="2568"/>
      <c r="W879" s="2568"/>
      <c r="X879" s="2568"/>
      <c r="Y879" s="2569"/>
      <c r="Z879" s="2570">
        <v>10</v>
      </c>
      <c r="AA879" s="2568"/>
      <c r="AB879" s="2568"/>
      <c r="AC879" s="2568"/>
      <c r="AD879" s="2568"/>
      <c r="AE879" s="2569"/>
      <c r="AF879" s="2563">
        <f>IF(T879&gt;Z879,Z879,T879)</f>
        <v>10</v>
      </c>
      <c r="AG879" s="2563"/>
      <c r="AH879" s="2563"/>
      <c r="AI879" s="2563"/>
      <c r="AJ879" s="2563"/>
      <c r="AK879" s="2563"/>
      <c r="AL879" s="809"/>
      <c r="AM879" s="589"/>
      <c r="AO879" s="807"/>
      <c r="AP879" s="807"/>
      <c r="AQ879" s="807"/>
    </row>
    <row r="880" spans="1:43">
      <c r="A880" s="811" t="s">
        <v>1560</v>
      </c>
      <c r="B880" s="2565" t="s">
        <v>1561</v>
      </c>
      <c r="C880" s="2565"/>
      <c r="D880" s="2565"/>
      <c r="E880" s="2565"/>
      <c r="F880" s="2565"/>
      <c r="G880" s="2565"/>
      <c r="H880" s="2565"/>
      <c r="I880" s="2565"/>
      <c r="J880" s="2565"/>
      <c r="K880" s="2565"/>
      <c r="L880" s="2565"/>
      <c r="M880" s="2565"/>
      <c r="N880" s="2565"/>
      <c r="O880" s="2565"/>
      <c r="P880" s="2565"/>
      <c r="Q880" s="2565"/>
      <c r="R880" s="2565"/>
      <c r="S880" s="2566"/>
      <c r="T880" s="2591">
        <f>SUM(T881:Y882)</f>
        <v>10</v>
      </c>
      <c r="U880" s="2591"/>
      <c r="V880" s="2591"/>
      <c r="W880" s="2591"/>
      <c r="X880" s="2591"/>
      <c r="Y880" s="2591"/>
      <c r="Z880" s="2563">
        <v>10</v>
      </c>
      <c r="AA880" s="2563"/>
      <c r="AB880" s="2563"/>
      <c r="AC880" s="2563"/>
      <c r="AD880" s="2563"/>
      <c r="AE880" s="2563"/>
      <c r="AF880" s="2563">
        <f>IF(T880&gt;Z880,Z880,T880)</f>
        <v>10</v>
      </c>
      <c r="AG880" s="2563"/>
      <c r="AH880" s="2563"/>
      <c r="AI880" s="2563"/>
      <c r="AJ880" s="2563"/>
      <c r="AK880" s="2563"/>
      <c r="AL880" s="809"/>
      <c r="AM880" s="589"/>
    </row>
    <row r="881" spans="1:81">
      <c r="A881" s="531"/>
      <c r="B881" s="594"/>
      <c r="C881" s="2592" t="s">
        <v>1562</v>
      </c>
      <c r="D881" s="2592"/>
      <c r="E881" s="2592"/>
      <c r="F881" s="2592"/>
      <c r="G881" s="2592"/>
      <c r="H881" s="2592"/>
      <c r="I881" s="2592"/>
      <c r="J881" s="2592"/>
      <c r="K881" s="2592"/>
      <c r="L881" s="2592"/>
      <c r="M881" s="2592"/>
      <c r="N881" s="2592"/>
      <c r="O881" s="2592"/>
      <c r="P881" s="2592"/>
      <c r="Q881" s="2592"/>
      <c r="R881" s="2592"/>
      <c r="S881" s="2593"/>
      <c r="T881" s="2484">
        <f>AJ165</f>
        <v>7</v>
      </c>
      <c r="U881" s="2484"/>
      <c r="V881" s="2484"/>
      <c r="W881" s="2484"/>
      <c r="X881" s="2484"/>
      <c r="Y881" s="2484"/>
      <c r="Z881" s="2485">
        <v>7</v>
      </c>
      <c r="AA881" s="2485"/>
      <c r="AB881" s="2485"/>
      <c r="AC881" s="2485"/>
      <c r="AD881" s="2485"/>
      <c r="AE881" s="2485"/>
      <c r="AF881" s="2594"/>
      <c r="AG881" s="2594"/>
      <c r="AH881" s="2594"/>
      <c r="AI881" s="2594"/>
      <c r="AJ881" s="2594"/>
      <c r="AK881" s="2594"/>
      <c r="AL881" s="809"/>
      <c r="AM881" s="589"/>
    </row>
    <row r="882" spans="1:81">
      <c r="A882" s="593"/>
      <c r="B882" s="594"/>
      <c r="C882" s="2592" t="s">
        <v>1563</v>
      </c>
      <c r="D882" s="2592"/>
      <c r="E882" s="2592"/>
      <c r="F882" s="2592"/>
      <c r="G882" s="2592"/>
      <c r="H882" s="2592"/>
      <c r="I882" s="2592"/>
      <c r="J882" s="2592"/>
      <c r="K882" s="2592"/>
      <c r="L882" s="2592"/>
      <c r="M882" s="2592"/>
      <c r="N882" s="2592"/>
      <c r="O882" s="2592"/>
      <c r="P882" s="2592"/>
      <c r="Q882" s="2592"/>
      <c r="R882" s="2592"/>
      <c r="S882" s="2593"/>
      <c r="T882" s="2484">
        <f>AJ179</f>
        <v>3</v>
      </c>
      <c r="U882" s="2484"/>
      <c r="V882" s="2484"/>
      <c r="W882" s="2484"/>
      <c r="X882" s="2484"/>
      <c r="Y882" s="2484"/>
      <c r="Z882" s="2485">
        <v>3</v>
      </c>
      <c r="AA882" s="2485"/>
      <c r="AB882" s="2485"/>
      <c r="AC882" s="2485"/>
      <c r="AD882" s="2485"/>
      <c r="AE882" s="2485"/>
      <c r="AF882" s="2594"/>
      <c r="AG882" s="2594"/>
      <c r="AH882" s="2594"/>
      <c r="AI882" s="2594"/>
      <c r="AJ882" s="2594"/>
      <c r="AK882" s="2594"/>
      <c r="AL882" s="809"/>
      <c r="AM882" s="589"/>
      <c r="AO882" s="544"/>
    </row>
    <row r="883" spans="1:81">
      <c r="A883" s="811" t="s">
        <v>1352</v>
      </c>
      <c r="B883" s="2565" t="s">
        <v>1564</v>
      </c>
      <c r="C883" s="2565"/>
      <c r="D883" s="2565"/>
      <c r="E883" s="2565"/>
      <c r="F883" s="2565"/>
      <c r="G883" s="2565"/>
      <c r="H883" s="2565"/>
      <c r="I883" s="2565"/>
      <c r="J883" s="2565"/>
      <c r="K883" s="2565"/>
      <c r="L883" s="2565"/>
      <c r="M883" s="2565"/>
      <c r="N883" s="2565"/>
      <c r="O883" s="2565"/>
      <c r="P883" s="2565"/>
      <c r="Q883" s="2565"/>
      <c r="R883" s="2565"/>
      <c r="S883" s="2566"/>
      <c r="T883" s="2591">
        <f>AK190</f>
        <v>10</v>
      </c>
      <c r="U883" s="2591"/>
      <c r="V883" s="2591"/>
      <c r="W883" s="2591"/>
      <c r="X883" s="2591"/>
      <c r="Y883" s="2591"/>
      <c r="Z883" s="2563">
        <v>10</v>
      </c>
      <c r="AA883" s="2563"/>
      <c r="AB883" s="2563"/>
      <c r="AC883" s="2563"/>
      <c r="AD883" s="2563"/>
      <c r="AE883" s="2563"/>
      <c r="AF883" s="2563">
        <f>IF(T883&gt;Z883,Z883,T883)</f>
        <v>10</v>
      </c>
      <c r="AG883" s="2563"/>
      <c r="AH883" s="2563"/>
      <c r="AI883" s="2563"/>
      <c r="AJ883" s="2563"/>
      <c r="AK883" s="2563"/>
      <c r="AL883" s="809"/>
      <c r="AM883" s="589"/>
    </row>
    <row r="884" spans="1:81" hidden="1">
      <c r="A884" s="810" t="s">
        <v>1360</v>
      </c>
      <c r="B884" s="2565" t="s">
        <v>1361</v>
      </c>
      <c r="C884" s="2565"/>
      <c r="D884" s="2565"/>
      <c r="E884" s="2565"/>
      <c r="F884" s="2565"/>
      <c r="G884" s="2565"/>
      <c r="H884" s="2565"/>
      <c r="I884" s="2565"/>
      <c r="J884" s="2565"/>
      <c r="K884" s="2565"/>
      <c r="L884" s="2565"/>
      <c r="M884" s="2565"/>
      <c r="N884" s="2565"/>
      <c r="O884" s="2565"/>
      <c r="P884" s="2565"/>
      <c r="Q884" s="2565"/>
      <c r="R884" s="2565"/>
      <c r="S884" s="2566"/>
      <c r="T884" s="2591">
        <f>AK272</f>
        <v>0</v>
      </c>
      <c r="U884" s="2591"/>
      <c r="V884" s="2591"/>
      <c r="W884" s="2591"/>
      <c r="X884" s="2591"/>
      <c r="Y884" s="2591"/>
      <c r="Z884" s="2570">
        <v>8</v>
      </c>
      <c r="AA884" s="2568"/>
      <c r="AB884" s="2568"/>
      <c r="AC884" s="2568"/>
      <c r="AD884" s="2568"/>
      <c r="AE884" s="2569"/>
      <c r="AF884" s="2563"/>
      <c r="AG884" s="2563"/>
      <c r="AH884" s="2563"/>
      <c r="AI884" s="2563"/>
      <c r="AJ884" s="2563"/>
      <c r="AK884" s="2563"/>
      <c r="AL884" s="809"/>
      <c r="AM884" s="589"/>
    </row>
    <row r="885" spans="1:81" s="530" customFormat="1" hidden="1">
      <c r="A885" s="811" t="s">
        <v>587</v>
      </c>
      <c r="B885" s="2565" t="s">
        <v>1565</v>
      </c>
      <c r="C885" s="2565"/>
      <c r="D885" s="2565"/>
      <c r="E885" s="2565"/>
      <c r="F885" s="2565"/>
      <c r="G885" s="2565"/>
      <c r="H885" s="2565"/>
      <c r="I885" s="2565"/>
      <c r="J885" s="2565"/>
      <c r="K885" s="2565"/>
      <c r="L885" s="2565"/>
      <c r="M885" s="2565"/>
      <c r="N885" s="2565"/>
      <c r="O885" s="2565"/>
      <c r="P885" s="2565"/>
      <c r="Q885" s="2565"/>
      <c r="R885" s="2565"/>
      <c r="S885" s="2566"/>
      <c r="T885" s="2591">
        <f>IF(AK548&gt;5,5,AK548)</f>
        <v>0</v>
      </c>
      <c r="U885" s="2591"/>
      <c r="V885" s="2591"/>
      <c r="W885" s="2591"/>
      <c r="X885" s="2591"/>
      <c r="Y885" s="2591"/>
      <c r="Z885" s="2563">
        <v>5</v>
      </c>
      <c r="AA885" s="2563"/>
      <c r="AB885" s="2563"/>
      <c r="AC885" s="2563"/>
      <c r="AD885" s="2563"/>
      <c r="AE885" s="2563"/>
      <c r="AF885" s="2563"/>
      <c r="AG885" s="2563"/>
      <c r="AH885" s="2563"/>
      <c r="AI885" s="2563"/>
      <c r="AJ885" s="2563"/>
      <c r="AK885" s="2563"/>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5" t="str">
        <f>B275</f>
        <v>Readiness to Proceed</v>
      </c>
      <c r="C886" s="2565"/>
      <c r="D886" s="2565"/>
      <c r="E886" s="2565"/>
      <c r="F886" s="2565"/>
      <c r="G886" s="2565"/>
      <c r="H886" s="2565"/>
      <c r="I886" s="2565"/>
      <c r="J886" s="2565"/>
      <c r="K886" s="2565"/>
      <c r="L886" s="2565"/>
      <c r="M886" s="2565"/>
      <c r="N886" s="2565"/>
      <c r="O886" s="2565"/>
      <c r="P886" s="2565"/>
      <c r="Q886" s="2565"/>
      <c r="R886" s="2565"/>
      <c r="S886" s="2566"/>
      <c r="T886" s="2591">
        <f>AK298</f>
        <v>10</v>
      </c>
      <c r="U886" s="2591"/>
      <c r="V886" s="2591"/>
      <c r="W886" s="2591"/>
      <c r="X886" s="2591"/>
      <c r="Y886" s="2591"/>
      <c r="Z886" s="2563">
        <v>10</v>
      </c>
      <c r="AA886" s="2563"/>
      <c r="AB886" s="2563"/>
      <c r="AC886" s="2563"/>
      <c r="AD886" s="2563"/>
      <c r="AE886" s="2563"/>
      <c r="AF886" s="2596">
        <f>IF(T886&gt;Z886,Z886,T886)</f>
        <v>10</v>
      </c>
      <c r="AG886" s="2597"/>
      <c r="AH886" s="2597"/>
      <c r="AI886" s="2597"/>
      <c r="AJ886" s="2597"/>
      <c r="AK886" s="2598"/>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5" t="str">
        <f>B301</f>
        <v>Access to Opportunity</v>
      </c>
      <c r="C887" s="2565"/>
      <c r="D887" s="2565"/>
      <c r="E887" s="2565"/>
      <c r="F887" s="2565"/>
      <c r="G887" s="2565"/>
      <c r="H887" s="2565"/>
      <c r="I887" s="2565"/>
      <c r="J887" s="2565"/>
      <c r="K887" s="2565"/>
      <c r="L887" s="2565"/>
      <c r="M887" s="2565"/>
      <c r="N887" s="2565"/>
      <c r="O887" s="2565"/>
      <c r="P887" s="2565"/>
      <c r="Q887" s="2565"/>
      <c r="R887" s="2565"/>
      <c r="S887" s="2566"/>
      <c r="T887" s="2591">
        <f>AK351</f>
        <v>9</v>
      </c>
      <c r="U887" s="2591"/>
      <c r="V887" s="2591"/>
      <c r="W887" s="2591"/>
      <c r="X887" s="2591"/>
      <c r="Y887" s="2591"/>
      <c r="Z887" s="2596">
        <v>10</v>
      </c>
      <c r="AA887" s="2597"/>
      <c r="AB887" s="2597"/>
      <c r="AC887" s="2597"/>
      <c r="AD887" s="2597"/>
      <c r="AE887" s="2598"/>
      <c r="AF887" s="2596">
        <f>IF(T887&gt;Z887,Z887,T887)</f>
        <v>9</v>
      </c>
      <c r="AG887" s="2597"/>
      <c r="AH887" s="2597"/>
      <c r="AI887" s="2597"/>
      <c r="AJ887" s="2597"/>
      <c r="AK887" s="2598"/>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2484">
        <f>AK351</f>
        <v>9</v>
      </c>
      <c r="U888" s="2484"/>
      <c r="V888" s="2484"/>
      <c r="W888" s="2484"/>
      <c r="X888" s="2484"/>
      <c r="Y888" s="2484"/>
      <c r="Z888" s="2495">
        <v>20</v>
      </c>
      <c r="AA888" s="2496"/>
      <c r="AB888" s="2496"/>
      <c r="AC888" s="2496"/>
      <c r="AD888" s="2496"/>
      <c r="AE888" s="2497"/>
      <c r="AF888" s="2594"/>
      <c r="AG888" s="2594"/>
      <c r="AH888" s="2594"/>
      <c r="AI888" s="2594"/>
      <c r="AJ888" s="2594"/>
      <c r="AK888" s="2594"/>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5" t="s">
        <v>843</v>
      </c>
      <c r="C889" s="2565"/>
      <c r="D889" s="2565"/>
      <c r="E889" s="2565"/>
      <c r="F889" s="2565"/>
      <c r="G889" s="2565"/>
      <c r="H889" s="2565"/>
      <c r="I889" s="2565"/>
      <c r="J889" s="2565"/>
      <c r="K889" s="2565"/>
      <c r="L889" s="2565"/>
      <c r="M889" s="2565"/>
      <c r="N889" s="2565"/>
      <c r="O889" s="2565"/>
      <c r="P889" s="2565"/>
      <c r="Q889" s="2565"/>
      <c r="R889" s="2565"/>
      <c r="S889" s="2566"/>
      <c r="T889" s="2591">
        <f>AK482</f>
        <v>10</v>
      </c>
      <c r="U889" s="2591"/>
      <c r="V889" s="2591"/>
      <c r="W889" s="2591"/>
      <c r="X889" s="2591"/>
      <c r="Y889" s="2591"/>
      <c r="Z889" s="2596">
        <v>10</v>
      </c>
      <c r="AA889" s="2597"/>
      <c r="AB889" s="2597"/>
      <c r="AC889" s="2597"/>
      <c r="AD889" s="2597"/>
      <c r="AE889" s="2598"/>
      <c r="AF889" s="2563">
        <f>IF(T889&gt;Z889,Z889,T889)</f>
        <v>10</v>
      </c>
      <c r="AG889" s="2563"/>
      <c r="AH889" s="2563"/>
      <c r="AI889" s="2563"/>
      <c r="AJ889" s="2563"/>
      <c r="AK889" s="2563"/>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5" t="s">
        <v>1547</v>
      </c>
      <c r="C890" s="2565"/>
      <c r="D890" s="2565"/>
      <c r="E890" s="2565"/>
      <c r="F890" s="2565"/>
      <c r="G890" s="2565"/>
      <c r="H890" s="2565"/>
      <c r="I890" s="2565"/>
      <c r="J890" s="2565"/>
      <c r="K890" s="2565"/>
      <c r="L890" s="2565"/>
      <c r="M890" s="2565"/>
      <c r="N890" s="2565"/>
      <c r="O890" s="2565"/>
      <c r="P890" s="2565"/>
      <c r="Q890" s="2565"/>
      <c r="R890" s="2565"/>
      <c r="S890" s="2566"/>
      <c r="T890" s="2591">
        <f>AK572</f>
        <v>12</v>
      </c>
      <c r="U890" s="2591"/>
      <c r="V890" s="2591"/>
      <c r="W890" s="2591"/>
      <c r="X890" s="2591"/>
      <c r="Y890" s="2591"/>
      <c r="Z890" s="2596">
        <v>12</v>
      </c>
      <c r="AA890" s="2597"/>
      <c r="AB890" s="2597"/>
      <c r="AC890" s="2597"/>
      <c r="AD890" s="2597"/>
      <c r="AE890" s="2598"/>
      <c r="AF890" s="2563">
        <f>IF(T890&gt;Z890,Z890,T890)</f>
        <v>12</v>
      </c>
      <c r="AG890" s="2563"/>
      <c r="AH890" s="2563"/>
      <c r="AI890" s="2563"/>
      <c r="AJ890" s="2563"/>
      <c r="AK890" s="2563"/>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5" t="s">
        <v>1567</v>
      </c>
      <c r="C891" s="2565"/>
      <c r="D891" s="2565"/>
      <c r="E891" s="2565"/>
      <c r="F891" s="2565"/>
      <c r="G891" s="2565"/>
      <c r="H891" s="2565"/>
      <c r="I891" s="2565"/>
      <c r="J891" s="2565"/>
      <c r="K891" s="2565"/>
      <c r="L891" s="2565"/>
      <c r="M891" s="2565"/>
      <c r="N891" s="2565"/>
      <c r="O891" s="2565"/>
      <c r="P891" s="2565"/>
      <c r="Q891" s="2565"/>
      <c r="R891" s="2565"/>
      <c r="S891" s="2566"/>
      <c r="T891" s="2591">
        <f>AK819</f>
        <v>10</v>
      </c>
      <c r="U891" s="2591"/>
      <c r="V891" s="2591"/>
      <c r="W891" s="2591"/>
      <c r="X891" s="2591"/>
      <c r="Y891" s="2591"/>
      <c r="Z891" s="2596">
        <v>10</v>
      </c>
      <c r="AA891" s="2597"/>
      <c r="AB891" s="2597"/>
      <c r="AC891" s="2597"/>
      <c r="AD891" s="2597"/>
      <c r="AE891" s="2598"/>
      <c r="AF891" s="2563">
        <f>IF(T891&gt;Z891,Z891,T891)</f>
        <v>10</v>
      </c>
      <c r="AG891" s="2563"/>
      <c r="AH891" s="2563"/>
      <c r="AI891" s="2563"/>
      <c r="AJ891" s="2563"/>
      <c r="AK891" s="2563"/>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595"/>
      <c r="U892" s="2595"/>
      <c r="V892" s="2595"/>
      <c r="W892" s="2595"/>
      <c r="X892" s="2595"/>
      <c r="Y892" s="2595"/>
      <c r="Z892" s="2485" t="s">
        <v>1569</v>
      </c>
      <c r="AA892" s="2485"/>
      <c r="AB892" s="2485"/>
      <c r="AC892" s="2485"/>
      <c r="AD892" s="2485"/>
      <c r="AE892" s="2485"/>
      <c r="AF892" s="2596">
        <f>ABS(T892)</f>
        <v>0</v>
      </c>
      <c r="AG892" s="2597"/>
      <c r="AH892" s="2597"/>
      <c r="AI892" s="2597"/>
      <c r="AJ892" s="2597"/>
      <c r="AK892" s="2598"/>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6">
      <c r="A893" s="2599" t="s">
        <v>1570</v>
      </c>
      <c r="B893" s="2600"/>
      <c r="C893" s="2600"/>
      <c r="D893" s="2600"/>
      <c r="E893" s="2600"/>
      <c r="F893" s="2600"/>
      <c r="G893" s="2600"/>
      <c r="H893" s="2600"/>
      <c r="I893" s="2600"/>
      <c r="J893" s="2600"/>
      <c r="K893" s="2600"/>
      <c r="L893" s="2600"/>
      <c r="M893" s="2600"/>
      <c r="N893" s="2600"/>
      <c r="O893" s="2600"/>
      <c r="P893" s="2600"/>
      <c r="Q893" s="2600"/>
      <c r="R893" s="2600"/>
      <c r="S893" s="2600"/>
      <c r="T893" s="2600"/>
      <c r="U893" s="2600"/>
      <c r="V893" s="2600"/>
      <c r="W893" s="2600"/>
      <c r="X893" s="2600"/>
      <c r="Y893" s="2600"/>
      <c r="Z893" s="2600"/>
      <c r="AA893" s="2600"/>
      <c r="AB893" s="2600"/>
      <c r="AC893" s="2600"/>
      <c r="AD893" s="2600"/>
      <c r="AE893" s="2601"/>
      <c r="AF893" s="2605">
        <f ca="1">SUM(AF876:AK891)-AF892</f>
        <v>111</v>
      </c>
      <c r="AG893" s="2606"/>
      <c r="AH893" s="2606"/>
      <c r="AI893" s="2606"/>
      <c r="AJ893" s="2606"/>
      <c r="AK893" s="2607"/>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6">
      <c r="A894" s="2602"/>
      <c r="B894" s="2603"/>
      <c r="C894" s="2603"/>
      <c r="D894" s="2603"/>
      <c r="E894" s="2603"/>
      <c r="F894" s="2603"/>
      <c r="G894" s="2603"/>
      <c r="H894" s="2603"/>
      <c r="I894" s="2603"/>
      <c r="J894" s="2603"/>
      <c r="K894" s="2603"/>
      <c r="L894" s="2603"/>
      <c r="M894" s="2603"/>
      <c r="N894" s="2603"/>
      <c r="O894" s="2603"/>
      <c r="P894" s="2603"/>
      <c r="Q894" s="2603"/>
      <c r="R894" s="2603"/>
      <c r="S894" s="2603"/>
      <c r="T894" s="2603"/>
      <c r="U894" s="2603"/>
      <c r="V894" s="2603"/>
      <c r="W894" s="2603"/>
      <c r="X894" s="2603"/>
      <c r="Y894" s="2603"/>
      <c r="Z894" s="2603"/>
      <c r="AA894" s="2603"/>
      <c r="AB894" s="2603"/>
      <c r="AC894" s="2603"/>
      <c r="AD894" s="2603"/>
      <c r="AE894" s="2604"/>
      <c r="AF894" s="2608"/>
      <c r="AG894" s="2609"/>
      <c r="AH894" s="2609"/>
      <c r="AI894" s="2609"/>
      <c r="AJ894" s="2609"/>
      <c r="AK894" s="2610"/>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3e60seecBYWthqldq977eLrHjW5XBRmPSGLVfcJbQWK1jBOecQtqI06gcG87cvTTSlcEdmh6DBK83q5mFj7Mag==" saltValue="wfshfZ1gYDkxxCmLugvAHw=="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$AP$299:$AP$309</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zoomScale="70" zoomScaleNormal="70" workbookViewId="0">
      <selection activeCell="I27" sqref="I27"/>
    </sheetView>
  </sheetViews>
  <sheetFormatPr defaultColWidth="9.109375" defaultRowHeight="13.8"/>
  <cols>
    <col min="1" max="1" width="2.44140625" style="1034" customWidth="1"/>
    <col min="2" max="9" width="14.6640625" style="1034" customWidth="1"/>
    <col min="10" max="10" width="2.33203125" style="1034" customWidth="1"/>
    <col min="11" max="11" width="11.88671875" style="1035" customWidth="1"/>
    <col min="12" max="12" width="10.6640625" style="1034" customWidth="1"/>
    <col min="13" max="13" width="10.44140625" style="1034" customWidth="1"/>
    <col min="14" max="14" width="10.88671875" style="1034" customWidth="1"/>
    <col min="15" max="18" width="9.109375" style="1034"/>
    <col min="19" max="19" width="9.44140625" style="1034" bestFit="1" customWidth="1"/>
    <col min="20" max="16384" width="9.109375" style="1034"/>
  </cols>
  <sheetData>
    <row r="1" spans="1:13" ht="30" customHeight="1">
      <c r="A1" s="2677" t="s">
        <v>1571</v>
      </c>
      <c r="B1" s="2677"/>
      <c r="C1" s="2677"/>
      <c r="D1" s="2677"/>
      <c r="E1" s="2677"/>
      <c r="F1" s="2677"/>
      <c r="G1" s="2677"/>
      <c r="H1" s="2677"/>
      <c r="I1" s="2677"/>
      <c r="J1" s="2677"/>
    </row>
    <row r="2" spans="1:13" ht="15" customHeight="1" thickBot="1">
      <c r="A2" s="1036"/>
      <c r="B2" s="1036"/>
      <c r="I2" s="1037"/>
      <c r="K2" s="1038"/>
    </row>
    <row r="3" spans="1:13" s="1041" customFormat="1" ht="20.100000000000001" customHeight="1">
      <c r="A3" s="1089"/>
      <c r="B3" s="1090"/>
      <c r="C3" s="1091"/>
      <c r="D3" s="1096"/>
      <c r="E3" s="1091"/>
      <c r="F3" s="1092" t="s">
        <v>1955</v>
      </c>
      <c r="G3" s="1091"/>
      <c r="H3" s="1093">
        <f>E18</f>
        <v>39379172</v>
      </c>
      <c r="I3" s="1094"/>
    </row>
    <row r="4" spans="1:13" s="1041" customFormat="1" ht="20.100000000000001" customHeight="1">
      <c r="B4" s="1083"/>
      <c r="D4" s="1097"/>
      <c r="F4" s="1082" t="s">
        <v>1957</v>
      </c>
      <c r="G4" s="1081" t="s">
        <v>1956</v>
      </c>
      <c r="H4" s="1195">
        <f>I18</f>
        <v>18374421.296428572</v>
      </c>
      <c r="I4" s="1084"/>
      <c r="K4" s="1045"/>
    </row>
    <row r="5" spans="1:13" s="1041" customFormat="1" ht="20.100000000000001" customHeight="1" thickBot="1">
      <c r="B5" s="1085"/>
      <c r="C5" s="1086"/>
      <c r="D5" s="1098"/>
      <c r="E5" s="1087"/>
      <c r="F5" s="1098" t="s">
        <v>1907</v>
      </c>
      <c r="G5" s="1099"/>
      <c r="H5" s="1095">
        <f>IFERROR(H3/H4,0)</f>
        <v>2.1431516870495457</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0" t="s">
        <v>1905</v>
      </c>
      <c r="C8" s="2681"/>
      <c r="D8" s="2681"/>
      <c r="E8" s="2682"/>
      <c r="G8" s="2683" t="s">
        <v>1906</v>
      </c>
      <c r="H8" s="2684"/>
      <c r="I8" s="2685"/>
      <c r="K8" s="1047"/>
    </row>
    <row r="9" spans="1:13" ht="15" customHeight="1">
      <c r="A9" s="1036"/>
      <c r="B9" s="2678" t="s">
        <v>1939</v>
      </c>
      <c r="C9" s="2678"/>
      <c r="D9" s="2678"/>
      <c r="E9" s="1049">
        <f>G33</f>
        <v>7225000</v>
      </c>
      <c r="G9" s="2674" t="s">
        <v>1937</v>
      </c>
      <c r="H9" s="2674"/>
      <c r="I9" s="1050">
        <f>MAX(SUMIF(Application!M562:M573,"Loan, Tax-Exempt",Application!AM562:AM573),27.5%*SUM('Sources and Uses Budget'!C8,'Sources and Uses Budget'!S105,'Sources and Uses Budget'!T105))</f>
        <v>21128698</v>
      </c>
      <c r="K9" s="1051"/>
      <c r="M9" s="1052"/>
    </row>
    <row r="10" spans="1:13" ht="15" customHeight="1" thickBot="1">
      <c r="A10" s="1036"/>
      <c r="B10" s="2678" t="s">
        <v>1940</v>
      </c>
      <c r="C10" s="2678"/>
      <c r="D10" s="2678"/>
      <c r="E10" s="1050">
        <f>G47</f>
        <v>23079672</v>
      </c>
      <c r="G10" s="2676" t="s">
        <v>1908</v>
      </c>
      <c r="H10" s="2676"/>
      <c r="I10" s="1129">
        <f>IF(OR(Application!Z205="State Farmworker Credit",Application!Z205="$500M (Farmworker Housing)"),0,'Basis &amp; Credits'!AB78)</f>
        <v>0</v>
      </c>
      <c r="M10" s="1052"/>
    </row>
    <row r="11" spans="1:13" ht="15" customHeight="1">
      <c r="A11" s="1036"/>
      <c r="B11" s="2687" t="s">
        <v>2202</v>
      </c>
      <c r="C11" s="2688"/>
      <c r="D11" s="2689"/>
      <c r="E11" s="1050">
        <f>SUM(E13,E12)</f>
        <v>260000</v>
      </c>
      <c r="G11" s="2686" t="s">
        <v>1948</v>
      </c>
      <c r="H11" s="2686"/>
      <c r="I11" s="1128">
        <f>I9+I10</f>
        <v>21128698</v>
      </c>
      <c r="M11" s="1052"/>
    </row>
    <row r="12" spans="1:13" ht="15" customHeight="1">
      <c r="A12" s="1053"/>
      <c r="B12" s="2679" t="s">
        <v>2561</v>
      </c>
      <c r="C12" s="2679"/>
      <c r="D12" s="2679"/>
      <c r="E12" s="1153">
        <f>G56</f>
        <v>260000</v>
      </c>
      <c r="M12" s="1052"/>
    </row>
    <row r="13" spans="1:13" ht="15" customHeight="1">
      <c r="A13" s="1039"/>
      <c r="B13" s="2679" t="s">
        <v>2562</v>
      </c>
      <c r="C13" s="2679"/>
      <c r="D13" s="2679"/>
      <c r="E13" s="1153">
        <f>IF(G67,MAX(G65,G79),G65)</f>
        <v>0</v>
      </c>
      <c r="G13" s="2683" t="s">
        <v>1971</v>
      </c>
      <c r="H13" s="2684"/>
      <c r="I13" s="2685"/>
    </row>
    <row r="14" spans="1:13" ht="15" customHeight="1">
      <c r="A14" s="1039"/>
      <c r="B14" s="2687" t="s">
        <v>2203</v>
      </c>
      <c r="C14" s="2688"/>
      <c r="D14" s="2689"/>
      <c r="E14" s="1155">
        <f>MAX(E15,E16)+E17</f>
        <v>8814500</v>
      </c>
      <c r="G14" s="2674" t="s">
        <v>2578</v>
      </c>
      <c r="H14" s="2674"/>
      <c r="I14" s="1054">
        <f>IF(AND(G134="Yes",G136&lt;&gt;""),IF(OR(G141="Yes",G145="Yes"),18%,15%),0)</f>
        <v>0</v>
      </c>
      <c r="M14" s="1052"/>
    </row>
    <row r="15" spans="1:13" ht="15" customHeight="1">
      <c r="A15" s="1039"/>
      <c r="B15" s="2690" t="s">
        <v>2575</v>
      </c>
      <c r="C15" s="2691"/>
      <c r="D15" s="2692"/>
      <c r="E15" s="1153">
        <f>G94</f>
        <v>0</v>
      </c>
      <c r="G15" s="1126" t="s">
        <v>1949</v>
      </c>
      <c r="H15" s="1126"/>
      <c r="I15" s="1054">
        <f>IF(Application!AJ1041&gt;0,10%,IF(Application!AJ1045&gt;0,5%,0))</f>
        <v>0.05</v>
      </c>
      <c r="M15" s="1052"/>
    </row>
    <row r="16" spans="1:13" ht="15" customHeight="1">
      <c r="A16" s="1039"/>
      <c r="B16" s="2690" t="s">
        <v>2576</v>
      </c>
      <c r="C16" s="2691"/>
      <c r="D16" s="2692"/>
      <c r="E16" s="1153">
        <f>G104</f>
        <v>0</v>
      </c>
      <c r="G16" s="2674" t="s">
        <v>1950</v>
      </c>
      <c r="H16" s="2674"/>
      <c r="I16" s="1054">
        <f>G155</f>
        <v>8.0357142857142863E-2</v>
      </c>
    </row>
    <row r="17" spans="1:21" ht="15" customHeight="1" thickBot="1">
      <c r="A17" s="1039"/>
      <c r="B17" s="2690" t="s">
        <v>2577</v>
      </c>
      <c r="C17" s="2691"/>
      <c r="D17" s="2692"/>
      <c r="E17" s="1153">
        <f>G129</f>
        <v>8814500</v>
      </c>
      <c r="G17" s="2674" t="s">
        <v>2211</v>
      </c>
      <c r="H17" s="2674"/>
      <c r="I17" s="1054">
        <f>IF(AND(G161="Yes",G159),IF(G165&gt;15%,15%,G165),0)</f>
        <v>0</v>
      </c>
    </row>
    <row r="18" spans="1:21" ht="15" customHeight="1">
      <c r="A18" s="1036"/>
      <c r="B18" s="2675" t="s">
        <v>1904</v>
      </c>
      <c r="C18" s="2675"/>
      <c r="D18" s="2675"/>
      <c r="E18" s="1100">
        <f>SUM(E9:E11,E14)</f>
        <v>39379172</v>
      </c>
      <c r="G18" s="1127" t="s">
        <v>1938</v>
      </c>
      <c r="H18" s="1127"/>
      <c r="I18" s="1101">
        <f>I11-((I11*I14)+(I11*I15)+(I11*I16)+(I11*I17))</f>
        <v>18374421.296428572</v>
      </c>
      <c r="M18" s="1055">
        <f>SUM(Cdlac[Quantity])</f>
        <v>112</v>
      </c>
      <c r="O18" s="1074" t="s">
        <v>580</v>
      </c>
      <c r="P18" s="1034">
        <f>MATCH(Application!T189,Application!CB160:CB217,0)</f>
        <v>43</v>
      </c>
      <c r="T18" s="1055">
        <f>SUM(Cdlac[Population])</f>
        <v>0</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5</v>
      </c>
      <c r="N20" s="1061">
        <f>Application!AC726</f>
        <v>0.7</v>
      </c>
      <c r="O20" s="1061">
        <f>IF(Cdlac[[#This Row],[Quantity]]&gt;0,IF(Cdlac[[#This Row],[Federal]],30%,IF(AND(OR(NOT($G$38),$G$38=""),$G$43),40%,Cdlac[[#This Row],[iAMI]])),"")</f>
        <v>0.7</v>
      </c>
      <c r="P20" s="1055" cm="1">
        <f t="array" ref="P20">IF(Cdlac[[#This Row],[Quantity]]&gt;0,INDEX(TcacRents,$P$18,Cdlac[[#This Row],[Bedrooms]]+1)*Cdlac[[#This Row],[AMI]],"")</f>
        <v>2696.3999999999996</v>
      </c>
      <c r="Q20" s="1152"/>
      <c r="R20" s="1055" cm="1">
        <f t="array" ref="R20">IF(Cdlac[[#This Row],[Quantity]]&gt;0,INDEX(HudFmrs,$P$18,Cdlac[[#This Row],[Bedrooms]]+1),"")</f>
        <v>2982</v>
      </c>
      <c r="S20" s="1055">
        <f>IF(Cdlac[[#This Row],[Quantity]]&gt;0,MAX(0,Cdlac[[#This Row],[Fair Market Rent]]-IF(AND($G$37,$G$38,$G$38&lt;&gt;"",NOT(Cdlac[[#This Row],[Federal]]),Cdlac[[#This Row],[Preservation Rent]]&lt;&gt;""),Cdlac[[#This Row],[Preservation Rent]],Cdlac[[#This Row],[Restricted Rent]])),"")</f>
        <v>285.60000000000036</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4</v>
      </c>
      <c r="N21" s="1061">
        <f>Application!AC727</f>
        <v>0.6</v>
      </c>
      <c r="O21" s="1061">
        <f>IF(Cdlac[[#This Row],[Quantity]]&gt;0,IF(Cdlac[[#This Row],[Federal]],30%,IF(AND(OR(NOT($G$38),$G$38=""),$G$43),40%,Cdlac[[#This Row],[iAMI]])),"")</f>
        <v>0.6</v>
      </c>
      <c r="P21" s="1055" cm="1">
        <f t="array" ref="P21">IF(Cdlac[[#This Row],[Quantity]]&gt;0,INDEX(TcacRents,$P$18,Cdlac[[#This Row],[Bedrooms]]+1)*Cdlac[[#This Row],[AMI]],"")</f>
        <v>2311.1999999999998</v>
      </c>
      <c r="Q21" s="1152"/>
      <c r="R21" s="1055" cm="1">
        <f t="array" ref="R21">IF(Cdlac[[#This Row],[Quantity]]&gt;0,INDEX(HudFmrs,$P$18,Cdlac[[#This Row],[Bedrooms]]+1),"")</f>
        <v>2982</v>
      </c>
      <c r="S21" s="1055">
        <f>IF(Cdlac[[#This Row],[Quantity]]&gt;0,MAX(0,Cdlac[[#This Row],[Fair Market Rent]]-IF(AND($G$37,$G$38,$G$38&lt;&gt;"",NOT(Cdlac[[#This Row],[Federal]]),Cdlac[[#This Row],[Preservation Rent]]&lt;&gt;""),Cdlac[[#This Row],[Preservation Rent]],Cdlac[[#This Row],[Restricted Rent]])),"")</f>
        <v>670.80000000000018</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4" t="s">
        <v>1952</v>
      </c>
      <c r="D22" s="2664" t="s">
        <v>1953</v>
      </c>
      <c r="E22" s="2664" t="s">
        <v>1954</v>
      </c>
      <c r="F22" s="2664" t="s">
        <v>2524</v>
      </c>
      <c r="G22" s="2664" t="s">
        <v>1951</v>
      </c>
      <c r="H22" s="1060"/>
      <c r="I22" s="1059"/>
      <c r="L22" s="1034">
        <f>IFERROR(MIN(4,MATCH(Application!B728,UnitSizes,0)-1),"")</f>
        <v>1</v>
      </c>
      <c r="M22" s="1055">
        <f>Application!G728</f>
        <v>3</v>
      </c>
      <c r="N22" s="1061">
        <f>Application!AC728</f>
        <v>0.5</v>
      </c>
      <c r="O22" s="1061">
        <f>IF(Cdlac[[#This Row],[Quantity]]&gt;0,IF(Cdlac[[#This Row],[Federal]],30%,IF(AND(OR(NOT($G$38),$G$38=""),$G$43),40%,Cdlac[[#This Row],[iAMI]])),"")</f>
        <v>0.5</v>
      </c>
      <c r="P22" s="1055" cm="1">
        <f t="array" ref="P22">IF(Cdlac[[#This Row],[Quantity]]&gt;0,INDEX(TcacRents,$P$18,Cdlac[[#This Row],[Bedrooms]]+1)*Cdlac[[#This Row],[AMI]],"")</f>
        <v>1926</v>
      </c>
      <c r="Q22" s="1152"/>
      <c r="R22" s="1055" cm="1">
        <f t="array" ref="R22">IF(Cdlac[[#This Row],[Quantity]]&gt;0,INDEX(HudFmrs,$P$18,Cdlac[[#This Row],[Bedrooms]]+1),"")</f>
        <v>2982</v>
      </c>
      <c r="S22" s="1055">
        <f>IF(Cdlac[[#This Row],[Quantity]]&gt;0,MAX(0,Cdlac[[#This Row],[Fair Market Rent]]-IF(AND($G$37,$G$38,$G$38&lt;&gt;"",NOT(Cdlac[[#This Row],[Federal]]),Cdlac[[#This Row],[Preservation Rent]]&lt;&gt;""),Cdlac[[#This Row],[Preservation Rent]],Cdlac[[#This Row],[Restricted Rent]])),"")</f>
        <v>1056</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5"/>
      <c r="D23" s="2665"/>
      <c r="E23" s="2665"/>
      <c r="F23" s="2665"/>
      <c r="G23" s="2665"/>
      <c r="H23" s="1060"/>
      <c r="I23" s="1059"/>
      <c r="L23" s="1034">
        <f>IFERROR(MIN(4,MATCH(Application!B729,UnitSizes,0)-1),"")</f>
        <v>1</v>
      </c>
      <c r="M23" s="1055">
        <f>Application!G729</f>
        <v>3</v>
      </c>
      <c r="N23" s="1061">
        <f>Application!AC729</f>
        <v>0.3</v>
      </c>
      <c r="O23" s="1061">
        <f>IF(Cdlac[[#This Row],[Quantity]]&gt;0,IF(Cdlac[[#This Row],[Federal]],30%,IF(AND(OR(NOT($G$38),$G$38=""),$G$43),40%,Cdlac[[#This Row],[iAMI]])),"")</f>
        <v>0.3</v>
      </c>
      <c r="P23" s="1055" cm="1">
        <f t="array" ref="P23">IF(Cdlac[[#This Row],[Quantity]]&gt;0,INDEX(TcacRents,$P$18,Cdlac[[#This Row],[Bedrooms]]+1)*Cdlac[[#This Row],[AMI]],"")</f>
        <v>1155.5999999999999</v>
      </c>
      <c r="Q23" s="1152"/>
      <c r="R23" s="1055" cm="1">
        <f t="array" ref="R23">IF(Cdlac[[#This Row],[Quantity]]&gt;0,INDEX(HudFmrs,$P$18,Cdlac[[#This Row],[Bedrooms]]+1),"")</f>
        <v>2982</v>
      </c>
      <c r="S23" s="1055">
        <f>IF(Cdlac[[#This Row],[Quantity]]&gt;0,MAX(0,Cdlac[[#This Row],[Fair Market Rent]]-IF(AND($G$37,$G$38,$G$38&lt;&gt;"",NOT(Cdlac[[#This Row],[Federal]]),Cdlac[[#This Row],[Preservation Rent]]&lt;&gt;""),Cdlac[[#This Row],[Preservation Rent]],Cdlac[[#This Row],[Restricted Rent]])),"")</f>
        <v>1826.4</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10</v>
      </c>
      <c r="N24" s="1061">
        <f>Application!AC730</f>
        <v>0.7</v>
      </c>
      <c r="O24" s="1061">
        <f>IF(Cdlac[[#This Row],[Quantity]]&gt;0,IF(Cdlac[[#This Row],[Federal]],30%,IF(AND(OR(NOT($G$38),$G$38=""),$G$43),40%,Cdlac[[#This Row],[iAMI]])),"")</f>
        <v>0.7</v>
      </c>
      <c r="P24" s="1055" cm="1">
        <f t="array" ref="P24">IF(Cdlac[[#This Row],[Quantity]]&gt;0,INDEX(TcacRents,$P$18,Cdlac[[#This Row],[Bedrooms]]+1)*Cdlac[[#This Row],[AMI]],"")</f>
        <v>3236.7999999999997</v>
      </c>
      <c r="Q24" s="1152"/>
      <c r="R24" s="1055" cm="1">
        <f t="array" ref="R24">IF(Cdlac[[#This Row],[Quantity]]&gt;0,INDEX(HudFmrs,$P$18,Cdlac[[#This Row],[Bedrooms]]+1),"")</f>
        <v>3483</v>
      </c>
      <c r="S24" s="1055">
        <f>IF(Cdlac[[#This Row],[Quantity]]&gt;0,MAX(0,Cdlac[[#This Row],[Fair Market Rent]]-IF(AND($G$37,$G$38,$G$38&lt;&gt;"",NOT(Cdlac[[#This Row],[Federal]]),Cdlac[[#This Row],[Preservation Rent]]&lt;&gt;""),Cdlac[[#This Row],[Preservation Rent]],Cdlac[[#This Row],[Restricted Rent]])),"")</f>
        <v>246.20000000000027</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15</v>
      </c>
      <c r="F25" s="1062">
        <f>E25</f>
        <v>15</v>
      </c>
      <c r="G25" s="1062">
        <f>D25*F25</f>
        <v>15</v>
      </c>
      <c r="L25" s="1034">
        <f>IFERROR(MIN(4,MATCH(Application!B731,UnitSizes,0)-1),"")</f>
        <v>2</v>
      </c>
      <c r="M25" s="1055">
        <f>Application!G731</f>
        <v>26</v>
      </c>
      <c r="N25" s="1061">
        <f>Application!AC731</f>
        <v>0.6</v>
      </c>
      <c r="O25" s="1061">
        <f>IF(Cdlac[[#This Row],[Quantity]]&gt;0,IF(Cdlac[[#This Row],[Federal]],30%,IF(AND(OR(NOT($G$38),$G$38=""),$G$43),40%,Cdlac[[#This Row],[iAMI]])),"")</f>
        <v>0.6</v>
      </c>
      <c r="P25" s="1055" cm="1">
        <f t="array" ref="P25">IF(Cdlac[[#This Row],[Quantity]]&gt;0,INDEX(TcacRents,$P$18,Cdlac[[#This Row],[Bedrooms]]+1)*Cdlac[[#This Row],[AMI]],"")</f>
        <v>2774.4</v>
      </c>
      <c r="Q25" s="1152"/>
      <c r="R25" s="1055" cm="1">
        <f t="array" ref="R25">IF(Cdlac[[#This Row],[Quantity]]&gt;0,INDEX(HudFmrs,$P$18,Cdlac[[#This Row],[Bedrooms]]+1),"")</f>
        <v>3483</v>
      </c>
      <c r="S25" s="1055">
        <f>IF(Cdlac[[#This Row],[Quantity]]&gt;0,MAX(0,Cdlac[[#This Row],[Fair Market Rent]]-IF(AND($G$37,$G$38,$G$38&lt;&gt;"",NOT(Cdlac[[#This Row],[Federal]]),Cdlac[[#This Row],[Preservation Rent]]&lt;&gt;""),Cdlac[[#This Row],[Preservation Rent]],Cdlac[[#This Row],[Restricted Rent]])),"")</f>
        <v>708.59999999999991</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44</v>
      </c>
      <c r="F26" s="1065">
        <f>SUM(E26:E28)-SUM(F27:F28)</f>
        <v>64</v>
      </c>
      <c r="G26" s="1062">
        <f>D26*F26</f>
        <v>80</v>
      </c>
      <c r="H26" s="1064"/>
      <c r="I26" s="1064"/>
      <c r="L26" s="1034">
        <f>IFERROR(MIN(4,MATCH(Application!B732,UnitSizes,0)-1),"")</f>
        <v>2</v>
      </c>
      <c r="M26" s="1055">
        <f>Application!G732</f>
        <v>4</v>
      </c>
      <c r="N26" s="1061">
        <f>Application!AC732</f>
        <v>0.5</v>
      </c>
      <c r="O26" s="1061">
        <f>IF(Cdlac[[#This Row],[Quantity]]&gt;0,IF(Cdlac[[#This Row],[Federal]],30%,IF(AND(OR(NOT($G$38),$G$38=""),$G$43),40%,Cdlac[[#This Row],[iAMI]])),"")</f>
        <v>0.5</v>
      </c>
      <c r="P26" s="1055" cm="1">
        <f t="array" ref="P26">IF(Cdlac[[#This Row],[Quantity]]&gt;0,INDEX(TcacRents,$P$18,Cdlac[[#This Row],[Bedrooms]]+1)*Cdlac[[#This Row],[AMI]],"")</f>
        <v>2312</v>
      </c>
      <c r="Q26" s="1152"/>
      <c r="R26" s="1055" cm="1">
        <f t="array" ref="R26">IF(Cdlac[[#This Row],[Quantity]]&gt;0,INDEX(HudFmrs,$P$18,Cdlac[[#This Row],[Bedrooms]]+1),"")</f>
        <v>3483</v>
      </c>
      <c r="S26" s="1055">
        <f>IF(Cdlac[[#This Row],[Quantity]]&gt;0,MAX(0,Cdlac[[#This Row],[Fair Market Rent]]-IF(AND($G$37,$G$38,$G$38&lt;&gt;"",NOT(Cdlac[[#This Row],[Federal]]),Cdlac[[#This Row],[Preservation Rent]]&lt;&gt;""),Cdlac[[#This Row],[Preservation Rent]],Cdlac[[#This Row],[Restricted Rent]])),"")</f>
        <v>1171</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53</v>
      </c>
      <c r="F27" s="1065">
        <f>MIN(E27,ROUNDDOWN(E29*30%,0))</f>
        <v>33</v>
      </c>
      <c r="G27" s="1062">
        <f>D27*F27</f>
        <v>49.5</v>
      </c>
      <c r="H27" s="1064"/>
      <c r="I27" s="1064"/>
      <c r="L27" s="1034">
        <f>IFERROR(MIN(4,MATCH(Application!B733,UnitSizes,0)-1),"")</f>
        <v>2</v>
      </c>
      <c r="M27" s="1055">
        <f>Application!G733</f>
        <v>4</v>
      </c>
      <c r="N27" s="1061">
        <f>Application!AC733</f>
        <v>0.3</v>
      </c>
      <c r="O27" s="1061">
        <f>IF(Cdlac[[#This Row],[Quantity]]&gt;0,IF(Cdlac[[#This Row],[Federal]],30%,IF(AND(OR(NOT($G$38),$G$38=""),$G$43),40%,Cdlac[[#This Row],[iAMI]])),"")</f>
        <v>0.3</v>
      </c>
      <c r="P27" s="1055" cm="1">
        <f t="array" ref="P27">IF(Cdlac[[#This Row],[Quantity]]&gt;0,INDEX(TcacRents,$P$18,Cdlac[[#This Row],[Bedrooms]]+1)*Cdlac[[#This Row],[AMI]],"")</f>
        <v>1387.2</v>
      </c>
      <c r="Q27" s="1152"/>
      <c r="R27" s="1055" cm="1">
        <f t="array" ref="R27">IF(Cdlac[[#This Row],[Quantity]]&gt;0,INDEX(HudFmrs,$P$18,Cdlac[[#This Row],[Bedrooms]]+1),"")</f>
        <v>3483</v>
      </c>
      <c r="S27" s="1055">
        <f>IF(Cdlac[[#This Row],[Quantity]]&gt;0,MAX(0,Cdlac[[#This Row],[Fair Market Rent]]-IF(AND($G$37,$G$38,$G$38&lt;&gt;"",NOT(Cdlac[[#This Row],[Federal]]),Cdlac[[#This Row],[Preservation Rent]]&lt;&gt;""),Cdlac[[#This Row],[Preservation Rent]],Cdlac[[#This Row],[Restricted Rent]])),"")</f>
        <v>2095.8000000000002</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10</v>
      </c>
      <c r="N28" s="1061">
        <f>Application!AC734</f>
        <v>0.7</v>
      </c>
      <c r="O28" s="1061">
        <f>IF(Cdlac[[#This Row],[Quantity]]&gt;0,IF(Cdlac[[#This Row],[Federal]],30%,IF(AND(OR(NOT($G$38),$G$38=""),$G$43),40%,Cdlac[[#This Row],[iAMI]])),"")</f>
        <v>0.7</v>
      </c>
      <c r="P28" s="1055" cm="1">
        <f t="array" ref="P28">IF(Cdlac[[#This Row],[Quantity]]&gt;0,INDEX(TcacRents,$P$18,Cdlac[[#This Row],[Bedrooms]]+1)*Cdlac[[#This Row],[AMI]],"")</f>
        <v>3739.3999999999996</v>
      </c>
      <c r="Q28" s="1152"/>
      <c r="R28" s="1055" cm="1">
        <f t="array" ref="R28">IF(Cdlac[[#This Row],[Quantity]]&gt;0,INDEX(HudFmrs,$P$18,Cdlac[[#This Row],[Bedrooms]]+1),"")</f>
        <v>4602</v>
      </c>
      <c r="S28" s="1055">
        <f>IF(Cdlac[[#This Row],[Quantity]]&gt;0,MAX(0,Cdlac[[#This Row],[Fair Market Rent]]-IF(AND($G$37,$G$38,$G$38&lt;&gt;"",NOT(Cdlac[[#This Row],[Federal]]),Cdlac[[#This Row],[Preservation Rent]]&lt;&gt;""),Cdlac[[#This Row],[Preservation Rent]],Cdlac[[#This Row],[Restricted Rent]])),"")</f>
        <v>862.60000000000036</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94" t="s">
        <v>1572</v>
      </c>
      <c r="D29" s="2695"/>
      <c r="E29" s="1079">
        <f>SUM(E24:E28)</f>
        <v>112</v>
      </c>
      <c r="F29" s="1079">
        <f>SUM(F24:F28)</f>
        <v>112</v>
      </c>
      <c r="G29" s="1080">
        <f>SUMPRODUCT(D24:D28,F24:F28)</f>
        <v>144.5</v>
      </c>
      <c r="H29" s="1064"/>
      <c r="I29" s="1064"/>
      <c r="L29" s="1034">
        <f>IFERROR(MIN(4,MATCH(Application!B735,UnitSizes,0)-1),"")</f>
        <v>3</v>
      </c>
      <c r="M29" s="1055">
        <f>Application!G735</f>
        <v>31</v>
      </c>
      <c r="N29" s="1061">
        <f>Application!AC735</f>
        <v>0.6</v>
      </c>
      <c r="O29" s="1061">
        <f>IF(Cdlac[[#This Row],[Quantity]]&gt;0,IF(Cdlac[[#This Row],[Federal]],30%,IF(AND(OR(NOT($G$38),$G$38=""),$G$43),40%,Cdlac[[#This Row],[iAMI]])),"")</f>
        <v>0.6</v>
      </c>
      <c r="P29" s="1055" cm="1">
        <f t="array" ref="P29">IF(Cdlac[[#This Row],[Quantity]]&gt;0,INDEX(TcacRents,$P$18,Cdlac[[#This Row],[Bedrooms]]+1)*Cdlac[[#This Row],[AMI]],"")</f>
        <v>3205.2</v>
      </c>
      <c r="Q29" s="1152"/>
      <c r="R29" s="1055" cm="1">
        <f t="array" ref="R29">IF(Cdlac[[#This Row],[Quantity]]&gt;0,INDEX(HudFmrs,$P$18,Cdlac[[#This Row],[Bedrooms]]+1),"")</f>
        <v>4602</v>
      </c>
      <c r="S29" s="1055">
        <f>IF(Cdlac[[#This Row],[Quantity]]&gt;0,MAX(0,Cdlac[[#This Row],[Fair Market Rent]]-IF(AND($G$37,$G$38,$G$38&lt;&gt;"",NOT(Cdlac[[#This Row],[Federal]]),Cdlac[[#This Row],[Preservation Rent]]&lt;&gt;""),Cdlac[[#This Row],[Preservation Rent]],Cdlac[[#This Row],[Restricted Rent]])),"")</f>
        <v>1396.8000000000002</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3</v>
      </c>
      <c r="M30" s="1055">
        <f>Application!G736</f>
        <v>6</v>
      </c>
      <c r="N30" s="1061">
        <f>Application!AC736</f>
        <v>0.5</v>
      </c>
      <c r="O30" s="1061">
        <f>IF(Cdlac[[#This Row],[Quantity]]&gt;0,IF(Cdlac[[#This Row],[Federal]],30%,IF(AND(OR(NOT($G$38),$G$38=""),$G$43),40%,Cdlac[[#This Row],[iAMI]])),"")</f>
        <v>0.5</v>
      </c>
      <c r="P30" s="1055" cm="1">
        <f t="array" ref="P30">IF(Cdlac[[#This Row],[Quantity]]&gt;0,INDEX(TcacRents,$P$18,Cdlac[[#This Row],[Bedrooms]]+1)*Cdlac[[#This Row],[AMI]],"")</f>
        <v>2671</v>
      </c>
      <c r="Q30" s="1152"/>
      <c r="R30" s="1055" cm="1">
        <f t="array" ref="R30">IF(Cdlac[[#This Row],[Quantity]]&gt;0,INDEX(HudFmrs,$P$18,Cdlac[[#This Row],[Bedrooms]]+1),"")</f>
        <v>4602</v>
      </c>
      <c r="S30" s="1055">
        <f>IF(Cdlac[[#This Row],[Quantity]]&gt;0,MAX(0,Cdlac[[#This Row],[Fair Market Rent]]-IF(AND($G$37,$G$38,$G$38&lt;&gt;"",NOT(Cdlac[[#This Row],[Federal]]),Cdlac[[#This Row],[Preservation Rent]]&lt;&gt;""),Cdlac[[#This Row],[Preservation Rent]],Cdlac[[#This Row],[Restricted Rent]])),"")</f>
        <v>1931</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144.5</v>
      </c>
      <c r="H31" s="1064"/>
      <c r="I31" s="1064"/>
      <c r="L31" s="1034">
        <f>IFERROR(MIN(4,MATCH(Application!B737,UnitSizes,0)-1),"")</f>
        <v>3</v>
      </c>
      <c r="M31" s="1055">
        <f>Application!G737</f>
        <v>6</v>
      </c>
      <c r="N31" s="1061">
        <f>Application!AC737</f>
        <v>0.3</v>
      </c>
      <c r="O31" s="1061">
        <f>IF(Cdlac[[#This Row],[Quantity]]&gt;0,IF(Cdlac[[#This Row],[Federal]],30%,IF(AND(OR(NOT($G$38),$G$38=""),$G$43),40%,Cdlac[[#This Row],[iAMI]])),"")</f>
        <v>0.3</v>
      </c>
      <c r="P31" s="1055" cm="1">
        <f t="array" ref="P31">IF(Cdlac[[#This Row],[Quantity]]&gt;0,INDEX(TcacRents,$P$18,Cdlac[[#This Row],[Bedrooms]]+1)*Cdlac[[#This Row],[AMI]],"")</f>
        <v>1602.6</v>
      </c>
      <c r="Q31" s="1152"/>
      <c r="R31" s="1055" cm="1">
        <f t="array" ref="R31">IF(Cdlac[[#This Row],[Quantity]]&gt;0,INDEX(HudFmrs,$P$18,Cdlac[[#This Row],[Bedrooms]]+1),"")</f>
        <v>4602</v>
      </c>
      <c r="S31" s="1055">
        <f>IF(Cdlac[[#This Row],[Quantity]]&gt;0,MAX(0,Cdlac[[#This Row],[Fair Market Rent]]-IF(AND($G$37,$G$38,$G$38&lt;&gt;"",NOT(Cdlac[[#This Row],[Federal]]),Cdlac[[#This Row],[Preservation Rent]]&lt;&gt;""),Cdlac[[#This Row],[Preservation Rent]],Cdlac[[#This Row],[Restricted Rent]])),"")</f>
        <v>2999.4</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7225000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7" t="str">
        <f>IF(AND(G37,G38,G38&lt;&gt;""),"Enter the average rent charged for each unit type over the last three years, as documented with rent rolls or property audits, in cells Q20:Q44","")</f>
        <v/>
      </c>
      <c r="D39" s="2697"/>
      <c r="E39" s="2697"/>
      <c r="F39" s="2697"/>
      <c r="G39" s="2697"/>
      <c r="H39" s="2697"/>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7"/>
      <c r="D40" s="2697"/>
      <c r="E40" s="2697"/>
      <c r="F40" s="2697"/>
      <c r="G40" s="2697"/>
      <c r="H40" s="2697"/>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7"/>
      <c r="D41" s="2697"/>
      <c r="E41" s="2697"/>
      <c r="F41" s="2697"/>
      <c r="G41" s="2697"/>
      <c r="H41" s="2697"/>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0.5758928571428571</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128220.4</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23079672</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13</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56</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13</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260000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0</v>
      </c>
    </row>
    <row r="61" spans="2:21" ht="15" customHeight="1">
      <c r="E61" s="1106" t="s">
        <v>1960</v>
      </c>
      <c r="G61" s="1103">
        <f>ROUNDDOWN(E29*50%,0)</f>
        <v>56</v>
      </c>
    </row>
    <row r="62" spans="2:21" ht="15" customHeight="1">
      <c r="E62" s="1106"/>
      <c r="G62" s="1114"/>
    </row>
    <row r="63" spans="2:21" ht="15" customHeight="1">
      <c r="E63" s="1106" t="s">
        <v>1920</v>
      </c>
      <c r="G63" s="1103">
        <f>MIN(G60:G61)</f>
        <v>0</v>
      </c>
    </row>
    <row r="64" spans="2:21" ht="15" customHeight="1">
      <c r="E64" s="1106" t="s">
        <v>1910</v>
      </c>
      <c r="F64" s="1102" t="s">
        <v>1958</v>
      </c>
      <c r="G64" s="1113">
        <v>10000</v>
      </c>
    </row>
    <row r="65" spans="5:7" ht="15" customHeight="1">
      <c r="E65" s="1107" t="s">
        <v>1943</v>
      </c>
      <c r="F65" s="1036"/>
      <c r="G65" s="1112">
        <f>G63*G64</f>
        <v>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0</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543</v>
      </c>
      <c r="L83" s="2666" t="s">
        <v>1935</v>
      </c>
      <c r="M83" s="2667"/>
      <c r="N83" s="1120">
        <v>30000</v>
      </c>
    </row>
    <row r="84" spans="2:14" ht="15" customHeight="1">
      <c r="C84" s="1067" t="s">
        <v>1947</v>
      </c>
      <c r="G84" s="1071" t="str">
        <f>IF(Application!D211="Large Family","Yes","No")</f>
        <v>Yes</v>
      </c>
      <c r="L84" s="2670" t="s">
        <v>1903</v>
      </c>
      <c r="M84" s="2671"/>
      <c r="N84" s="1121">
        <v>20000</v>
      </c>
    </row>
    <row r="85" spans="2:14" ht="15" customHeight="1" thickBot="1">
      <c r="C85" s="1067" t="s">
        <v>1933</v>
      </c>
      <c r="G85" s="1033" t="s">
        <v>667</v>
      </c>
      <c r="L85" s="2672" t="s">
        <v>1936</v>
      </c>
      <c r="M85" s="2673"/>
      <c r="N85" s="1122">
        <v>10000</v>
      </c>
    </row>
    <row r="86" spans="2:14" ht="15" customHeight="1" thickBot="1">
      <c r="C86" s="1067" t="s">
        <v>1934</v>
      </c>
      <c r="G86" s="1034" t="str">
        <f>Application!T193</f>
        <v>Low Resource</v>
      </c>
    </row>
    <row r="87" spans="2:14" ht="15" customHeight="1">
      <c r="C87" s="2700" t="s">
        <v>2201</v>
      </c>
      <c r="D87" s="2700"/>
      <c r="E87" s="2700"/>
      <c r="F87" s="2700"/>
      <c r="G87" s="1033" t="s">
        <v>667</v>
      </c>
      <c r="L87" s="1116" t="str">
        <f>'Points System'!H651</f>
        <v>(i)</v>
      </c>
      <c r="M87" s="2668" t="s">
        <v>1394</v>
      </c>
      <c r="N87" s="2669"/>
    </row>
    <row r="88" spans="2:14" ht="15" customHeight="1">
      <c r="C88" s="2700"/>
      <c r="D88" s="2700"/>
      <c r="E88" s="2700"/>
      <c r="F88" s="2700"/>
      <c r="L88" s="1117" t="str">
        <f>'Points System'!H663</f>
        <v>N/A</v>
      </c>
      <c r="M88" s="2660" t="s">
        <v>1922</v>
      </c>
      <c r="N88" s="2661"/>
    </row>
    <row r="89" spans="2:14" ht="15" customHeight="1">
      <c r="C89" s="1067"/>
      <c r="L89" s="1117" t="str">
        <f>'Points System'!H698</f>
        <v>(iii)</v>
      </c>
      <c r="M89" s="2660" t="s">
        <v>1923</v>
      </c>
      <c r="N89" s="2661"/>
    </row>
    <row r="90" spans="2:14" ht="15" customHeight="1">
      <c r="E90" s="1074" t="s">
        <v>1965</v>
      </c>
      <c r="G90" s="1069" t="b">
        <f>OR(AND(COUNTIFS(G84:G85,"Yes")&gt;=1,G83="Yes"),G87="Yes")</f>
        <v>1</v>
      </c>
      <c r="L90" s="1117" t="str">
        <f>IF(OR('Points System'!H725="(ii)",'Points System'!H725="(i)"),"(i)","N/A")</f>
        <v>(i)</v>
      </c>
      <c r="M90" s="2660" t="s">
        <v>1924</v>
      </c>
      <c r="N90" s="2661"/>
    </row>
    <row r="91" spans="2:14" ht="15" customHeight="1">
      <c r="E91" s="1074"/>
      <c r="G91" s="1069"/>
      <c r="L91" s="1118" t="str">
        <f>'Points System'!H739</f>
        <v>N/A</v>
      </c>
      <c r="M91" s="2660" t="s">
        <v>1420</v>
      </c>
      <c r="N91" s="2661"/>
    </row>
    <row r="92" spans="2:14" ht="15" customHeight="1">
      <c r="E92" s="1074" t="s">
        <v>1910</v>
      </c>
      <c r="G92" s="1068">
        <f>IFERROR(IF($G$87="Yes",30000,INDEX(N83:N85,MATCH(LEFT(G86,17),L83:L85,0))),0)</f>
        <v>0</v>
      </c>
      <c r="L92" s="1117" t="str">
        <f>'Points System'!H751</f>
        <v>N/A</v>
      </c>
      <c r="M92" s="2660" t="s">
        <v>1925</v>
      </c>
      <c r="N92" s="2661"/>
    </row>
    <row r="93" spans="2:14" ht="15" customHeight="1">
      <c r="E93" s="1074" t="str">
        <f>E110</f>
        <v>Bedroom-Adjusted Low-Income Units</v>
      </c>
      <c r="F93" s="1102" t="s">
        <v>1958</v>
      </c>
      <c r="G93" s="1103">
        <f>G29</f>
        <v>144.5</v>
      </c>
      <c r="L93" s="1117" t="str">
        <f>'Points System'!H767</f>
        <v>(ii)</v>
      </c>
      <c r="M93" s="2660" t="s">
        <v>1926</v>
      </c>
      <c r="N93" s="2661"/>
    </row>
    <row r="94" spans="2:14" ht="15" customHeight="1" thickBot="1">
      <c r="D94" s="1036"/>
      <c r="E94" s="1107" t="s">
        <v>2204</v>
      </c>
      <c r="F94" s="1036"/>
      <c r="G94" s="1112">
        <f>G93*G92*G90</f>
        <v>0</v>
      </c>
      <c r="L94" s="1119" t="str">
        <f>'Points System'!H779</f>
        <v>N/A</v>
      </c>
      <c r="M94" s="2662" t="s">
        <v>1423</v>
      </c>
      <c r="N94" s="2663"/>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667</v>
      </c>
    </row>
    <row r="99" spans="2:9" ht="15" customHeight="1">
      <c r="F99" s="1105"/>
    </row>
    <row r="100" spans="2:9" ht="15" customHeight="1">
      <c r="E100" s="1074" t="s">
        <v>1965</v>
      </c>
      <c r="G100" s="1069" t="b">
        <f>G98="Yes"</f>
        <v>0</v>
      </c>
    </row>
    <row r="101" spans="2:9" ht="15" customHeight="1"/>
    <row r="102" spans="2:9" ht="15" customHeight="1">
      <c r="E102" s="1074" t="str">
        <f>E110</f>
        <v>Bedroom-Adjusted Low-Income Units</v>
      </c>
      <c r="G102" s="1103">
        <f>G29</f>
        <v>144.5</v>
      </c>
    </row>
    <row r="103" spans="2:9" ht="15" customHeight="1">
      <c r="E103" s="1074" t="s">
        <v>1910</v>
      </c>
      <c r="F103" s="1102" t="s">
        <v>1958</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7</v>
      </c>
    </row>
    <row r="109" spans="2:9" ht="15" customHeight="1">
      <c r="E109" s="1074" t="s">
        <v>1910</v>
      </c>
      <c r="F109" s="1102" t="s">
        <v>1958</v>
      </c>
      <c r="G109" s="1066">
        <v>4000</v>
      </c>
    </row>
    <row r="110" spans="2:9" ht="15" customHeight="1">
      <c r="E110" s="1074" t="s">
        <v>1962</v>
      </c>
      <c r="F110" s="1102" t="s">
        <v>1958</v>
      </c>
      <c r="G110" s="1115">
        <f>G29</f>
        <v>144.5</v>
      </c>
    </row>
    <row r="111" spans="2:9" ht="15" customHeight="1">
      <c r="E111" s="1107" t="s">
        <v>1927</v>
      </c>
      <c r="F111" s="1036"/>
      <c r="G111" s="1112">
        <f>G108*G109*G110</f>
        <v>4046000</v>
      </c>
    </row>
    <row r="112" spans="2:9" ht="15" customHeight="1">
      <c r="C112" s="1067"/>
      <c r="G112" s="1103"/>
    </row>
    <row r="113" spans="2:7" ht="15" customHeight="1">
      <c r="E113" s="1074" t="s">
        <v>1963</v>
      </c>
      <c r="G113" s="1103">
        <f>COUNTIFS(L87:L94,"(i)")</f>
        <v>2</v>
      </c>
    </row>
    <row r="114" spans="2:7" ht="15" customHeight="1">
      <c r="E114" s="1074" t="s">
        <v>1910</v>
      </c>
      <c r="F114" s="1102" t="s">
        <v>1958</v>
      </c>
      <c r="G114" s="1113">
        <v>4000</v>
      </c>
    </row>
    <row r="115" spans="2:7" ht="15" customHeight="1">
      <c r="E115" s="1107" t="s">
        <v>1928</v>
      </c>
      <c r="F115" s="1036"/>
      <c r="G115" s="1112">
        <f>G110*G113*G114</f>
        <v>1156000</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t="s">
        <v>543</v>
      </c>
    </row>
    <row r="121" spans="2:7">
      <c r="C121" s="1067" t="s">
        <v>2088</v>
      </c>
      <c r="G121" s="1033"/>
    </row>
    <row r="123" spans="2:7">
      <c r="B123" s="1068"/>
      <c r="C123" s="1067"/>
      <c r="E123" s="1074" t="s">
        <v>1965</v>
      </c>
      <c r="G123" s="1069" t="b">
        <f>COUNTIFS(G118:G121,"Yes")&gt;=1</f>
        <v>1</v>
      </c>
    </row>
    <row r="124" spans="2:7">
      <c r="E124" s="1067"/>
    </row>
    <row r="125" spans="2:7" ht="14.4">
      <c r="E125" s="1074" t="s">
        <v>1962</v>
      </c>
      <c r="F125" s="1102" t="s">
        <v>1958</v>
      </c>
      <c r="G125" s="1103">
        <f>G29</f>
        <v>144.5</v>
      </c>
    </row>
    <row r="126" spans="2:7" ht="14.4">
      <c r="E126" s="1074" t="s">
        <v>1910</v>
      </c>
      <c r="F126" s="1102" t="s">
        <v>1958</v>
      </c>
      <c r="G126" s="1113">
        <v>25000</v>
      </c>
    </row>
    <row r="127" spans="2:7">
      <c r="E127" s="1107" t="s">
        <v>1929</v>
      </c>
      <c r="F127" s="1036"/>
      <c r="G127" s="1112">
        <f>G123*G126*G110</f>
        <v>3612500</v>
      </c>
    </row>
    <row r="128" spans="2:7">
      <c r="C128" s="1067"/>
      <c r="E128" s="1067"/>
    </row>
    <row r="129" spans="2:9">
      <c r="E129" s="1107" t="s">
        <v>2206</v>
      </c>
      <c r="G129" s="1112">
        <f>G127+G115+G111</f>
        <v>8814500</v>
      </c>
    </row>
    <row r="131" spans="2:9">
      <c r="B131" s="1056" t="s">
        <v>139</v>
      </c>
      <c r="C131" s="1057"/>
      <c r="D131" s="1057"/>
      <c r="E131" s="1057"/>
      <c r="F131" s="1057"/>
      <c r="G131" s="1057"/>
      <c r="H131" s="1057"/>
      <c r="I131" s="1058"/>
    </row>
    <row r="133" spans="2:9">
      <c r="C133" s="2696" t="s">
        <v>2173</v>
      </c>
      <c r="D133" s="2696"/>
      <c r="E133" s="2696"/>
      <c r="F133" s="2696"/>
    </row>
    <row r="134" spans="2:9">
      <c r="C134" s="2696"/>
      <c r="D134" s="2696"/>
      <c r="E134" s="2696"/>
      <c r="F134" s="2696"/>
      <c r="G134" s="1033"/>
    </row>
    <row r="135" spans="2:9" ht="14.25" customHeight="1"/>
    <row r="136" spans="2:9">
      <c r="C136" s="1034" t="s">
        <v>2175</v>
      </c>
      <c r="G136" s="2698"/>
      <c r="H136" s="2698"/>
    </row>
    <row r="137" spans="2:9">
      <c r="G137" s="2698"/>
      <c r="H137" s="2698"/>
    </row>
    <row r="138" spans="2:9">
      <c r="G138" s="2699"/>
      <c r="H138" s="2699"/>
    </row>
    <row r="140" spans="2:9">
      <c r="C140" s="2696" t="s">
        <v>2580</v>
      </c>
      <c r="D140" s="2696"/>
      <c r="E140" s="2696"/>
      <c r="F140" s="2696"/>
    </row>
    <row r="141" spans="2:9">
      <c r="C141" s="2696"/>
      <c r="D141" s="2696"/>
      <c r="E141" s="2696"/>
      <c r="F141" s="2696"/>
      <c r="G141" s="1033"/>
    </row>
    <row r="142" spans="2:9">
      <c r="C142" s="2696"/>
      <c r="D142" s="2696"/>
      <c r="E142" s="2696"/>
      <c r="F142" s="2696"/>
    </row>
    <row r="144" spans="2:9">
      <c r="C144" s="2696" t="s">
        <v>2579</v>
      </c>
      <c r="D144" s="2696"/>
      <c r="E144" s="2696"/>
      <c r="F144" s="2696"/>
    </row>
    <row r="145" spans="2:9">
      <c r="C145" s="2696"/>
      <c r="D145" s="2696"/>
      <c r="E145" s="2696"/>
      <c r="F145" s="2696"/>
      <c r="G145" s="1033"/>
    </row>
    <row r="146" spans="2:9">
      <c r="C146" s="2696"/>
      <c r="D146" s="2696"/>
      <c r="E146" s="2696"/>
      <c r="F146" s="2696"/>
    </row>
    <row r="147" spans="2:9">
      <c r="C147" s="2696"/>
      <c r="D147" s="2696"/>
      <c r="E147" s="2696"/>
      <c r="F147" s="2696"/>
    </row>
    <row r="149" spans="2:9">
      <c r="B149" s="1056" t="s">
        <v>1967</v>
      </c>
      <c r="C149" s="1057"/>
      <c r="D149" s="1057"/>
      <c r="E149" s="1057"/>
      <c r="F149" s="1057"/>
      <c r="G149" s="1057"/>
      <c r="H149" s="1057"/>
      <c r="I149" s="1058"/>
    </row>
    <row r="151" spans="2:9">
      <c r="E151" s="1074" t="s">
        <v>580</v>
      </c>
      <c r="G151" s="1034" t="str">
        <f>IF(Application!T189="","",Application!T189)</f>
        <v>Santa Clara</v>
      </c>
    </row>
    <row r="152" spans="2:9">
      <c r="E152" s="1074"/>
      <c r="G152" s="1068"/>
    </row>
    <row r="153" spans="2:9">
      <c r="E153" s="1074" t="str">
        <f>"2-Bedroom "&amp;G151&amp;" County Basis Limit"</f>
        <v>2-Bedroom Santa Clara County Basis Limit</v>
      </c>
      <c r="G153" s="1068">
        <f>Application!R997</f>
        <v>740000</v>
      </c>
    </row>
    <row r="154" spans="2:9">
      <c r="E154" s="1074" t="s">
        <v>1966</v>
      </c>
      <c r="G154" s="1068">
        <f>MEDIAN((Application!CU160:CU217))</f>
        <v>560000</v>
      </c>
    </row>
    <row r="155" spans="2:9">
      <c r="D155" s="1036"/>
      <c r="E155" s="1107" t="s">
        <v>1968</v>
      </c>
      <c r="F155" s="1123"/>
      <c r="G155" s="1124">
        <f>((G153-G154)/G154)*0.25</f>
        <v>8.0357142857142863E-2</v>
      </c>
      <c r="H155" s="1032"/>
      <c r="I155" s="1032"/>
    </row>
    <row r="156" spans="2:9">
      <c r="D156" s="1035"/>
      <c r="E156" s="1035"/>
    </row>
    <row r="157" spans="2:9">
      <c r="B157" s="1056" t="s">
        <v>2207</v>
      </c>
      <c r="C157" s="1057"/>
      <c r="D157" s="1057"/>
      <c r="E157" s="1057"/>
      <c r="F157" s="1057"/>
      <c r="G157" s="1057"/>
      <c r="H157" s="1057"/>
      <c r="I157" s="1058"/>
    </row>
    <row r="159" spans="2:9">
      <c r="E159" s="1074" t="s">
        <v>2560</v>
      </c>
      <c r="G159" s="1034" t="b">
        <f>G37</f>
        <v>0</v>
      </c>
    </row>
    <row r="160" spans="2:9">
      <c r="C160" s="2693" t="s">
        <v>2208</v>
      </c>
      <c r="D160" s="2693"/>
      <c r="E160" s="2693"/>
      <c r="F160" s="2693"/>
    </row>
    <row r="161" spans="2:7">
      <c r="B161" s="1035"/>
      <c r="C161" s="2693"/>
      <c r="D161" s="2693"/>
      <c r="E161" s="2693"/>
      <c r="F161" s="2693"/>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3169304.6999999997</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7"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09375" defaultRowHeight="13.8"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09375" style="304"/>
  </cols>
  <sheetData>
    <row r="1" spans="1:12">
      <c r="A1" s="2701" t="s">
        <v>907</v>
      </c>
      <c r="B1" s="2701"/>
      <c r="C1" s="2701"/>
      <c r="D1" s="2701"/>
      <c r="E1" s="2701"/>
      <c r="F1" s="2701"/>
      <c r="G1" s="2701"/>
      <c r="H1" s="2701"/>
      <c r="I1" s="2701"/>
      <c r="J1" s="2701"/>
      <c r="K1" s="204"/>
      <c r="L1" s="204"/>
    </row>
    <row r="2" spans="1:12">
      <c r="A2" s="210"/>
      <c r="B2" s="210"/>
      <c r="C2" s="210"/>
      <c r="D2" s="210"/>
      <c r="E2" s="210"/>
      <c r="F2" s="210"/>
      <c r="G2" s="210"/>
      <c r="H2" s="210"/>
      <c r="I2" s="210"/>
      <c r="J2" s="210"/>
    </row>
    <row r="3" spans="1:12" ht="83.4">
      <c r="A3" s="422" t="s">
        <v>908</v>
      </c>
      <c r="B3" s="422" t="s">
        <v>2194</v>
      </c>
      <c r="C3" s="422" t="s">
        <v>2195</v>
      </c>
      <c r="D3" s="1135" t="s">
        <v>2196</v>
      </c>
      <c r="E3" s="204"/>
      <c r="F3" s="1135" t="s">
        <v>909</v>
      </c>
      <c r="G3" s="422" t="s">
        <v>910</v>
      </c>
      <c r="H3" s="423"/>
      <c r="I3" s="422" t="s">
        <v>911</v>
      </c>
      <c r="J3" s="422" t="s">
        <v>912</v>
      </c>
      <c r="K3" s="204"/>
      <c r="L3" s="305"/>
    </row>
    <row r="4" spans="1:12">
      <c r="A4" s="424" t="str">
        <f>Application!B726</f>
        <v>1 Bedroom</v>
      </c>
      <c r="B4" s="1072">
        <f>Application!G726</f>
        <v>5</v>
      </c>
      <c r="C4" s="1150"/>
      <c r="D4" s="424">
        <f>Application!O726</f>
        <v>2456</v>
      </c>
      <c r="E4" s="425"/>
      <c r="F4" s="1073"/>
      <c r="G4" s="424">
        <f>F4*B4</f>
        <v>0</v>
      </c>
      <c r="H4" s="425"/>
      <c r="I4" s="424" t="str">
        <f>IF(F4=0,"",MAX((F4-D4),0))</f>
        <v/>
      </c>
      <c r="J4" s="424" t="str">
        <f t="shared" ref="J4:J27" si="0">IF(F4=0,"",(I4*B4))</f>
        <v/>
      </c>
      <c r="K4" s="204"/>
      <c r="L4" s="305"/>
    </row>
    <row r="5" spans="1:12">
      <c r="A5" s="424" t="str">
        <f>Application!B727</f>
        <v>1 Bedroom</v>
      </c>
      <c r="B5" s="1072">
        <f>Application!G727</f>
        <v>4</v>
      </c>
      <c r="C5" s="1150"/>
      <c r="D5" s="424">
        <f>Application!O727</f>
        <v>2250</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3</v>
      </c>
      <c r="C6" s="1150"/>
      <c r="D6" s="424">
        <f>Application!O728</f>
        <v>1864</v>
      </c>
      <c r="E6" s="425"/>
      <c r="F6" s="1073"/>
      <c r="G6" s="424">
        <f t="shared" si="1"/>
        <v>0</v>
      </c>
      <c r="H6" s="425"/>
      <c r="I6" s="424" t="str">
        <f t="shared" si="2"/>
        <v/>
      </c>
      <c r="J6" s="424" t="str">
        <f t="shared" si="0"/>
        <v/>
      </c>
      <c r="K6" s="204"/>
      <c r="L6" s="305"/>
    </row>
    <row r="7" spans="1:12">
      <c r="A7" s="424" t="str">
        <f>Application!B729</f>
        <v>1 Bedroom</v>
      </c>
      <c r="B7" s="1072">
        <f>Application!G729</f>
        <v>3</v>
      </c>
      <c r="C7" s="1150"/>
      <c r="D7" s="424">
        <f>Application!O729</f>
        <v>1094</v>
      </c>
      <c r="E7" s="425"/>
      <c r="F7" s="1073"/>
      <c r="G7" s="424">
        <f t="shared" si="1"/>
        <v>0</v>
      </c>
      <c r="H7" s="425"/>
      <c r="I7" s="424" t="str">
        <f t="shared" si="2"/>
        <v/>
      </c>
      <c r="J7" s="424" t="str">
        <f t="shared" si="0"/>
        <v/>
      </c>
      <c r="K7" s="204"/>
      <c r="L7" s="305"/>
    </row>
    <row r="8" spans="1:12">
      <c r="A8" s="424" t="str">
        <f>Application!B730</f>
        <v>2 Bedrooms</v>
      </c>
      <c r="B8" s="1072">
        <f>Application!G730</f>
        <v>10</v>
      </c>
      <c r="C8" s="1150"/>
      <c r="D8" s="424">
        <f>Application!O730</f>
        <v>2671</v>
      </c>
      <c r="E8" s="425"/>
      <c r="F8" s="1073"/>
      <c r="G8" s="424">
        <f t="shared" si="1"/>
        <v>0</v>
      </c>
      <c r="H8" s="425"/>
      <c r="I8" s="424" t="str">
        <f t="shared" si="2"/>
        <v/>
      </c>
      <c r="J8" s="424" t="str">
        <f t="shared" si="0"/>
        <v/>
      </c>
      <c r="K8" s="204"/>
      <c r="L8" s="305"/>
    </row>
    <row r="9" spans="1:12">
      <c r="A9" s="424" t="str">
        <f>Application!B731</f>
        <v>2 Bedrooms</v>
      </c>
      <c r="B9" s="1072">
        <f>Application!G731</f>
        <v>26</v>
      </c>
      <c r="C9" s="1150"/>
      <c r="D9" s="424">
        <f>Application!O731</f>
        <v>2671</v>
      </c>
      <c r="E9" s="425"/>
      <c r="F9" s="1073"/>
      <c r="G9" s="424">
        <f t="shared" si="1"/>
        <v>0</v>
      </c>
      <c r="H9" s="425"/>
      <c r="I9" s="424" t="str">
        <f t="shared" si="2"/>
        <v/>
      </c>
      <c r="J9" s="424" t="str">
        <f t="shared" si="0"/>
        <v/>
      </c>
      <c r="K9" s="204"/>
      <c r="L9" s="305"/>
    </row>
    <row r="10" spans="1:12">
      <c r="A10" s="424" t="str">
        <f>Application!B732</f>
        <v>2 Bedrooms</v>
      </c>
      <c r="B10" s="1072">
        <f>Application!G732</f>
        <v>4</v>
      </c>
      <c r="C10" s="1150"/>
      <c r="D10" s="424">
        <f>Application!O732</f>
        <v>2228</v>
      </c>
      <c r="E10" s="425"/>
      <c r="F10" s="1073"/>
      <c r="G10" s="424">
        <f t="shared" si="1"/>
        <v>0</v>
      </c>
      <c r="H10" s="425"/>
      <c r="I10" s="424" t="str">
        <f t="shared" si="2"/>
        <v/>
      </c>
      <c r="J10" s="424" t="str">
        <f t="shared" si="0"/>
        <v/>
      </c>
      <c r="K10" s="204"/>
      <c r="L10" s="305"/>
    </row>
    <row r="11" spans="1:12">
      <c r="A11" s="424" t="str">
        <f>Application!B733</f>
        <v>2 Bedrooms</v>
      </c>
      <c r="B11" s="1072">
        <f>Application!G733</f>
        <v>4</v>
      </c>
      <c r="C11" s="1150"/>
      <c r="D11" s="424">
        <f>Application!O733</f>
        <v>1303</v>
      </c>
      <c r="E11" s="425"/>
      <c r="F11" s="1073"/>
      <c r="G11" s="424">
        <f t="shared" si="1"/>
        <v>0</v>
      </c>
      <c r="H11" s="425"/>
      <c r="I11" s="424" t="str">
        <f t="shared" si="2"/>
        <v/>
      </c>
      <c r="J11" s="424" t="str">
        <f t="shared" si="0"/>
        <v/>
      </c>
      <c r="K11" s="204"/>
      <c r="L11" s="305"/>
    </row>
    <row r="12" spans="1:12">
      <c r="A12" s="424" t="str">
        <f>Application!B734</f>
        <v>3 Bedrooms</v>
      </c>
      <c r="B12" s="1072">
        <f>Application!G734</f>
        <v>10</v>
      </c>
      <c r="C12" s="1150"/>
      <c r="D12" s="424">
        <f>Application!O734</f>
        <v>3159</v>
      </c>
      <c r="E12" s="425"/>
      <c r="F12" s="1073"/>
      <c r="G12" s="424">
        <f t="shared" si="1"/>
        <v>0</v>
      </c>
      <c r="H12" s="425"/>
      <c r="I12" s="424" t="str">
        <f t="shared" si="2"/>
        <v/>
      </c>
      <c r="J12" s="424" t="str">
        <f t="shared" si="0"/>
        <v/>
      </c>
      <c r="K12" s="204"/>
      <c r="L12" s="305"/>
    </row>
    <row r="13" spans="1:12">
      <c r="A13" s="424" t="str">
        <f>Application!B735</f>
        <v>3 Bedrooms</v>
      </c>
      <c r="B13" s="1072">
        <f>Application!G735</f>
        <v>31</v>
      </c>
      <c r="C13" s="1150"/>
      <c r="D13" s="424">
        <f>Application!O735</f>
        <v>3099</v>
      </c>
      <c r="E13" s="425"/>
      <c r="F13" s="1073"/>
      <c r="G13" s="424">
        <f t="shared" si="1"/>
        <v>0</v>
      </c>
      <c r="H13" s="425"/>
      <c r="I13" s="424" t="str">
        <f t="shared" si="2"/>
        <v/>
      </c>
      <c r="J13" s="424" t="str">
        <f t="shared" si="0"/>
        <v/>
      </c>
      <c r="K13" s="204"/>
      <c r="L13" s="305"/>
    </row>
    <row r="14" spans="1:12">
      <c r="A14" s="424" t="str">
        <f>Application!B736</f>
        <v>3 Bedrooms</v>
      </c>
      <c r="B14" s="1072">
        <f>Application!G736</f>
        <v>6</v>
      </c>
      <c r="C14" s="1150"/>
      <c r="D14" s="424">
        <f>Application!O736</f>
        <v>2564</v>
      </c>
      <c r="E14" s="425"/>
      <c r="F14" s="1073"/>
      <c r="G14" s="424">
        <f t="shared" si="1"/>
        <v>0</v>
      </c>
      <c r="H14" s="425"/>
      <c r="I14" s="424" t="str">
        <f t="shared" si="2"/>
        <v/>
      </c>
      <c r="J14" s="424" t="str">
        <f t="shared" si="0"/>
        <v/>
      </c>
      <c r="K14" s="204"/>
      <c r="L14" s="305"/>
    </row>
    <row r="15" spans="1:12">
      <c r="A15" s="424" t="str">
        <f>Application!B737</f>
        <v>3 Bedrooms</v>
      </c>
      <c r="B15" s="1072">
        <f>Application!G737</f>
        <v>6</v>
      </c>
      <c r="C15" s="1150"/>
      <c r="D15" s="424">
        <f>Application!O737</f>
        <v>1496</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913</v>
      </c>
      <c r="B40" s="427"/>
      <c r="C40" s="427"/>
      <c r="D40" s="428">
        <f>Application!O761</f>
        <v>292453</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2197</v>
      </c>
    </row>
    <row r="43" spans="1:12">
      <c r="A43" s="2702" t="s">
        <v>2418</v>
      </c>
      <c r="B43" s="2702"/>
      <c r="C43" s="2702"/>
      <c r="D43" s="2702"/>
      <c r="E43" s="2702"/>
      <c r="F43" s="2702"/>
      <c r="G43" s="2702"/>
      <c r="H43" s="2702"/>
      <c r="I43" s="2702"/>
      <c r="J43" s="2702"/>
    </row>
    <row r="44" spans="1:12">
      <c r="A44" s="2702"/>
      <c r="B44" s="2702"/>
      <c r="C44" s="2702"/>
      <c r="D44" s="2702"/>
      <c r="E44" s="2702"/>
      <c r="F44" s="2702"/>
      <c r="G44" s="2702"/>
      <c r="H44" s="2702"/>
      <c r="I44" s="2702"/>
      <c r="J44" s="2702"/>
    </row>
    <row r="45" spans="1:12">
      <c r="A45" s="2702" t="s">
        <v>2198</v>
      </c>
      <c r="B45" s="2702"/>
      <c r="C45" s="2702"/>
      <c r="D45" s="2702"/>
      <c r="E45" s="2702"/>
      <c r="F45" s="2702"/>
      <c r="G45" s="2702"/>
      <c r="H45" s="2702"/>
      <c r="I45" s="2702"/>
      <c r="J45" s="2702"/>
    </row>
    <row r="46" spans="1:12">
      <c r="A46" s="2702"/>
      <c r="B46" s="2702"/>
      <c r="C46" s="2702"/>
      <c r="D46" s="2702"/>
      <c r="E46" s="2702"/>
      <c r="F46" s="2702"/>
      <c r="G46" s="2702"/>
      <c r="H46" s="2702"/>
      <c r="I46" s="2702"/>
      <c r="J46" s="270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22" workbookViewId="0">
      <selection activeCell="E66" sqref="E66"/>
    </sheetView>
  </sheetViews>
  <sheetFormatPr defaultColWidth="0" defaultRowHeight="13.2" zeroHeight="1"/>
  <cols>
    <col min="1" max="1" width="3.6640625" customWidth="1"/>
    <col min="2" max="2" width="30.5546875" customWidth="1"/>
    <col min="3" max="3" width="9.10937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8671875" hidden="1"/>
  </cols>
  <sheetData>
    <row r="1" spans="1:34" ht="17.399999999999999">
      <c r="A1" s="211" t="s">
        <v>2041</v>
      </c>
      <c r="B1" s="211"/>
    </row>
    <row r="2" spans="1:34"/>
    <row r="3" spans="1:34" ht="15.6">
      <c r="A3" s="212" t="s">
        <v>817</v>
      </c>
      <c r="B3" s="212"/>
      <c r="C3" s="235" t="s">
        <v>818</v>
      </c>
      <c r="D3" s="13"/>
      <c r="E3" s="236" t="s">
        <v>819</v>
      </c>
      <c r="F3" s="203"/>
      <c r="G3" s="236" t="s">
        <v>820</v>
      </c>
      <c r="H3" s="203"/>
      <c r="I3" s="236" t="s">
        <v>821</v>
      </c>
      <c r="J3" s="203"/>
      <c r="K3" s="236" t="s">
        <v>822</v>
      </c>
      <c r="L3" s="203"/>
      <c r="M3" s="236" t="s">
        <v>823</v>
      </c>
      <c r="N3" s="203"/>
      <c r="O3" s="236" t="s">
        <v>824</v>
      </c>
      <c r="P3" s="203"/>
      <c r="Q3" s="236" t="s">
        <v>825</v>
      </c>
      <c r="R3" s="203"/>
      <c r="S3" s="236" t="s">
        <v>826</v>
      </c>
      <c r="T3" s="203"/>
      <c r="U3" s="236" t="s">
        <v>827</v>
      </c>
      <c r="V3" s="203"/>
      <c r="W3" s="236" t="s">
        <v>828</v>
      </c>
      <c r="X3" s="203"/>
      <c r="Y3" s="236" t="s">
        <v>829</v>
      </c>
      <c r="Z3" s="203"/>
      <c r="AA3" s="236" t="s">
        <v>830</v>
      </c>
      <c r="AB3" s="203"/>
      <c r="AC3" s="236" t="s">
        <v>831</v>
      </c>
      <c r="AD3" s="203"/>
      <c r="AE3" s="236" t="s">
        <v>832</v>
      </c>
      <c r="AF3" s="203"/>
      <c r="AG3" s="236" t="s">
        <v>833</v>
      </c>
      <c r="AH3" s="13"/>
    </row>
    <row r="4" spans="1:34" s="219" customFormat="1" ht="13.8">
      <c r="A4" s="219" t="s">
        <v>835</v>
      </c>
      <c r="C4" s="237">
        <v>1.0249999999999999</v>
      </c>
      <c r="E4" s="219">
        <f>Application!Y809</f>
        <v>3509436</v>
      </c>
      <c r="G4" s="219">
        <f>E4*$C$4</f>
        <v>3597171.9</v>
      </c>
      <c r="I4" s="219">
        <f>G4*$C$4</f>
        <v>3687101.1974999998</v>
      </c>
      <c r="K4" s="219">
        <f>I4*$C$4</f>
        <v>3779278.7274374994</v>
      </c>
      <c r="M4" s="219">
        <f>K4*$C$4</f>
        <v>3873760.6956234365</v>
      </c>
      <c r="O4" s="219">
        <f>M4*$C$4</f>
        <v>3970604.713014022</v>
      </c>
      <c r="Q4" s="219">
        <f>O4*$C$4</f>
        <v>4069869.8308393722</v>
      </c>
      <c r="S4" s="219">
        <f>Q4*$C$4</f>
        <v>4171616.5766103561</v>
      </c>
      <c r="U4" s="219">
        <f>S4*$C$4</f>
        <v>4275906.9910256146</v>
      </c>
      <c r="W4" s="219">
        <f>U4*$C$4</f>
        <v>4382804.6658012541</v>
      </c>
      <c r="Y4" s="219">
        <f>W4*$C$4</f>
        <v>4492374.7824462848</v>
      </c>
      <c r="AA4" s="219">
        <f>Y4*$C$4</f>
        <v>4604684.152007441</v>
      </c>
      <c r="AC4" s="219">
        <f>AA4*$C$4</f>
        <v>4719801.255807627</v>
      </c>
      <c r="AE4" s="219">
        <f>AC4*$C$4</f>
        <v>4837796.2872028174</v>
      </c>
      <c r="AG4" s="219">
        <f>AE4*$C$4</f>
        <v>4958741.1943828873</v>
      </c>
    </row>
    <row r="5" spans="1:34" s="210" customFormat="1" ht="13.8">
      <c r="B5" s="210" t="s">
        <v>836</v>
      </c>
      <c r="C5" s="238">
        <f>IF(Application!$D$211="Special Needs",(((0.1*Application!$T$212)+(0.05*(1-Application!$T$212)))),0.05)</f>
        <v>0.05</v>
      </c>
      <c r="E5" s="221">
        <f>-E4*$C$5</f>
        <v>-175471.80000000002</v>
      </c>
      <c r="F5" s="221"/>
      <c r="G5" s="221">
        <f>-G4*$C$5</f>
        <v>-179858.595</v>
      </c>
      <c r="H5" s="221"/>
      <c r="I5" s="221">
        <f>-I4*$C$5</f>
        <v>-184355.05987500001</v>
      </c>
      <c r="J5" s="221"/>
      <c r="K5" s="221">
        <f>-K4*$C$5</f>
        <v>-188963.936371875</v>
      </c>
      <c r="L5" s="221"/>
      <c r="M5" s="221">
        <f>-M4*$C$5</f>
        <v>-193688.03478117182</v>
      </c>
      <c r="N5" s="221"/>
      <c r="O5" s="221">
        <f>-O4*$C$5</f>
        <v>-198530.2356507011</v>
      </c>
      <c r="P5" s="221"/>
      <c r="Q5" s="221">
        <f>-Q4*$C$5</f>
        <v>-203493.49154196863</v>
      </c>
      <c r="R5" s="221"/>
      <c r="S5" s="221">
        <f>-S4*$C$5</f>
        <v>-208580.82883051783</v>
      </c>
      <c r="T5" s="221"/>
      <c r="U5" s="221">
        <f>-U4*$C$5</f>
        <v>-213795.34955128073</v>
      </c>
      <c r="V5" s="221"/>
      <c r="W5" s="221">
        <f>-W4*$C$5</f>
        <v>-219140.23329006272</v>
      </c>
      <c r="X5" s="221"/>
      <c r="Y5" s="221">
        <f>-Y4*$C$5</f>
        <v>-224618.73912231426</v>
      </c>
      <c r="Z5" s="221"/>
      <c r="AA5" s="221">
        <f>-AA4*$C$5</f>
        <v>-230234.20760037206</v>
      </c>
      <c r="AB5" s="221"/>
      <c r="AC5" s="221">
        <f>-AC4*$C$5</f>
        <v>-235990.06279038137</v>
      </c>
      <c r="AD5" s="221"/>
      <c r="AE5" s="221">
        <f>-AE4*$C$5</f>
        <v>-241889.81436014088</v>
      </c>
      <c r="AF5" s="221"/>
      <c r="AG5" s="221">
        <f>-AG4*$C$5</f>
        <v>-247937.05971914437</v>
      </c>
    </row>
    <row r="6" spans="1:34" s="210" customFormat="1" ht="13.8">
      <c r="A6" s="210" t="s">
        <v>834</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836</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288</v>
      </c>
      <c r="C8" s="237">
        <v>1.0249999999999999</v>
      </c>
      <c r="E8" s="222">
        <f>Application!Z825</f>
        <v>21696</v>
      </c>
      <c r="F8" s="222"/>
      <c r="G8" s="222">
        <f>E8*$C$8</f>
        <v>22238.399999999998</v>
      </c>
      <c r="H8" s="222"/>
      <c r="I8" s="222">
        <f>G8*$C$8</f>
        <v>22794.359999999997</v>
      </c>
      <c r="J8" s="222"/>
      <c r="K8" s="222">
        <f>I8*$C$8</f>
        <v>23364.218999999994</v>
      </c>
      <c r="L8" s="222"/>
      <c r="M8" s="222">
        <f>K8*$C$8</f>
        <v>23948.32447499999</v>
      </c>
      <c r="N8" s="222"/>
      <c r="O8" s="222">
        <f>M8*$C$8</f>
        <v>24547.03258687499</v>
      </c>
      <c r="P8" s="222"/>
      <c r="Q8" s="222">
        <f>O8*$C$8</f>
        <v>25160.708401546861</v>
      </c>
      <c r="R8" s="222"/>
      <c r="S8" s="222">
        <f>Q8*$C$8</f>
        <v>25789.726111585529</v>
      </c>
      <c r="T8" s="222"/>
      <c r="U8" s="222">
        <f>S8*$C$8</f>
        <v>26434.469264375166</v>
      </c>
      <c r="V8" s="222"/>
      <c r="W8" s="222">
        <f>U8*$C$8</f>
        <v>27095.330995984543</v>
      </c>
      <c r="X8" s="222"/>
      <c r="Y8" s="222">
        <f>W8*$C$8</f>
        <v>27772.714270884153</v>
      </c>
      <c r="Z8" s="222"/>
      <c r="AA8" s="222">
        <f>Y8*$C$8</f>
        <v>28467.032127656254</v>
      </c>
      <c r="AB8" s="222"/>
      <c r="AC8" s="222">
        <f>AA8*$C$8</f>
        <v>29178.707930847657</v>
      </c>
      <c r="AD8" s="222"/>
      <c r="AE8" s="222">
        <f>AC8*$C$8</f>
        <v>29908.175629118847</v>
      </c>
      <c r="AF8" s="222"/>
      <c r="AG8" s="222">
        <f>AE8*$C$8</f>
        <v>30655.880019846816</v>
      </c>
    </row>
    <row r="9" spans="1:34" s="210" customFormat="1" ht="13.8">
      <c r="B9" s="210" t="s">
        <v>836</v>
      </c>
      <c r="C9" s="238">
        <f>IF(Application!$D$211="Special Needs",(((0.1*Application!$T$212)+(0.05*(1-Application!$T$212)))),0.05)</f>
        <v>0.05</v>
      </c>
      <c r="E9" s="221">
        <f>-E8*$C$9</f>
        <v>-1084.8</v>
      </c>
      <c r="F9" s="221"/>
      <c r="G9" s="221">
        <f>-G8*$C$9</f>
        <v>-1111.9199999999998</v>
      </c>
      <c r="H9" s="221"/>
      <c r="I9" s="221">
        <f>-I8*$C$9</f>
        <v>-1139.7179999999998</v>
      </c>
      <c r="J9" s="221"/>
      <c r="K9" s="221">
        <f>-K8*$C$9</f>
        <v>-1168.2109499999997</v>
      </c>
      <c r="L9" s="221"/>
      <c r="M9" s="221">
        <f>-M8*$C$9</f>
        <v>-1197.4162237499995</v>
      </c>
      <c r="N9" s="221"/>
      <c r="O9" s="221">
        <f>-O8*$C$9</f>
        <v>-1227.3516293437494</v>
      </c>
      <c r="P9" s="221"/>
      <c r="Q9" s="221">
        <f>-Q8*$C$9</f>
        <v>-1258.0354200773431</v>
      </c>
      <c r="R9" s="221"/>
      <c r="S9" s="221">
        <f>-S8*$C$9</f>
        <v>-1289.4863055792766</v>
      </c>
      <c r="T9" s="221"/>
      <c r="U9" s="221">
        <f>-U8*$C$9</f>
        <v>-1321.7234632187583</v>
      </c>
      <c r="V9" s="221"/>
      <c r="W9" s="221">
        <f>-W8*$C$9</f>
        <v>-1354.7665497992273</v>
      </c>
      <c r="X9" s="221"/>
      <c r="Y9" s="221">
        <f>-Y8*$C$9</f>
        <v>-1388.6357135442076</v>
      </c>
      <c r="Z9" s="221"/>
      <c r="AA9" s="221">
        <f>-AA8*$C$9</f>
        <v>-1423.3516063828129</v>
      </c>
      <c r="AB9" s="221"/>
      <c r="AC9" s="221">
        <f>-AC8*$C$9</f>
        <v>-1458.9353965423829</v>
      </c>
      <c r="AD9" s="221"/>
      <c r="AE9" s="221">
        <f>-AE8*$C$9</f>
        <v>-1495.4087814559425</v>
      </c>
      <c r="AF9" s="221"/>
      <c r="AG9" s="221">
        <f>-AG8*$C$9</f>
        <v>-1532.7940009923409</v>
      </c>
    </row>
    <row r="10" spans="1:34" s="210" customFormat="1" ht="13.8">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3.8">
      <c r="A11" s="223" t="s">
        <v>857</v>
      </c>
      <c r="C11" s="216"/>
      <c r="E11" s="223">
        <f>SUM(E4:E10)</f>
        <v>3354575.4000000004</v>
      </c>
      <c r="G11" s="223">
        <f>SUM(G4:G10)</f>
        <v>3438439.7849999997</v>
      </c>
      <c r="I11" s="223">
        <f>SUM(I4:I10)</f>
        <v>3524400.779625</v>
      </c>
      <c r="K11" s="223">
        <f>SUM(K4:K10)</f>
        <v>3612510.7991156243</v>
      </c>
      <c r="M11" s="223">
        <f>SUM(M4:M10)</f>
        <v>3702823.5690935147</v>
      </c>
      <c r="O11" s="223">
        <f>SUM(O4:O10)</f>
        <v>3795394.1583208521</v>
      </c>
      <c r="Q11" s="223">
        <f>SUM(Q4:Q10)</f>
        <v>3890279.012278873</v>
      </c>
      <c r="S11" s="223">
        <f>SUM(S4:S10)</f>
        <v>3987535.9875858449</v>
      </c>
      <c r="U11" s="223">
        <f>SUM(U4:U10)</f>
        <v>4087224.38727549</v>
      </c>
      <c r="W11" s="223">
        <f>SUM(W4:W10)</f>
        <v>4189404.9969573766</v>
      </c>
      <c r="Y11" s="223">
        <f>SUM(Y4:Y10)</f>
        <v>4294140.1218813108</v>
      </c>
      <c r="AA11" s="223">
        <f>SUM(AA4:AA10)</f>
        <v>4401493.6249283422</v>
      </c>
      <c r="AC11" s="223">
        <f>SUM(AC4:AC10)</f>
        <v>4511530.9655515505</v>
      </c>
      <c r="AE11" s="223">
        <f>SUM(AE4:AE10)</f>
        <v>4624319.2396903392</v>
      </c>
      <c r="AG11" s="223">
        <f>SUM(AG4:AG10)</f>
        <v>4739927.2206825968</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6">
      <c r="A13" s="212" t="s">
        <v>837</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838</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839</v>
      </c>
      <c r="C15" s="176"/>
      <c r="E15" s="219">
        <f>Application!W855</f>
        <v>86880</v>
      </c>
      <c r="G15" s="219">
        <f>E15*$C$14</f>
        <v>89920.799999999988</v>
      </c>
      <c r="I15" s="219">
        <f>G15*$C$14</f>
        <v>93068.027999999977</v>
      </c>
      <c r="K15" s="219">
        <f>I15*$C$14</f>
        <v>96325.408979999964</v>
      </c>
      <c r="M15" s="219">
        <f>K15*$C$14</f>
        <v>99696.798294299952</v>
      </c>
      <c r="O15" s="219">
        <f>M15*$C$14</f>
        <v>103186.18623460045</v>
      </c>
      <c r="Q15" s="219">
        <f>O15*$C$14</f>
        <v>106797.70275281146</v>
      </c>
      <c r="S15" s="219">
        <f>Q15*$C$14</f>
        <v>110535.62234915985</v>
      </c>
      <c r="U15" s="219">
        <f>S15*$C$14</f>
        <v>114404.36913138043</v>
      </c>
      <c r="W15" s="219">
        <f>U15*$C$14</f>
        <v>118408.52205097873</v>
      </c>
      <c r="Y15" s="219">
        <f>W15*$C$14</f>
        <v>122552.82032276299</v>
      </c>
      <c r="AA15" s="219">
        <f>Y15*$C$14</f>
        <v>126842.16903405968</v>
      </c>
      <c r="AC15" s="219">
        <f>AA15*$C$14</f>
        <v>131281.64495025176</v>
      </c>
      <c r="AE15" s="219">
        <f>AC15*$C$14</f>
        <v>135876.50252351057</v>
      </c>
      <c r="AG15" s="219">
        <f>AE15*$C$14</f>
        <v>140632.18011183344</v>
      </c>
    </row>
    <row r="16" spans="1:34" s="210" customFormat="1" ht="13.8">
      <c r="A16" s="210" t="s">
        <v>344</v>
      </c>
      <c r="C16" s="233"/>
      <c r="E16" s="222">
        <f>Application!W857</f>
        <v>94920</v>
      </c>
      <c r="F16" s="222"/>
      <c r="G16" s="222">
        <f t="shared" ref="G16:AG21" si="0">E16*$C$14</f>
        <v>98242.2</v>
      </c>
      <c r="H16" s="222"/>
      <c r="I16" s="222">
        <f t="shared" si="0"/>
        <v>101680.677</v>
      </c>
      <c r="J16" s="222"/>
      <c r="K16" s="222">
        <f t="shared" si="0"/>
        <v>105239.50069499998</v>
      </c>
      <c r="L16" s="222"/>
      <c r="M16" s="222">
        <f t="shared" si="0"/>
        <v>108922.88321932497</v>
      </c>
      <c r="N16" s="222"/>
      <c r="O16" s="222">
        <f t="shared" si="0"/>
        <v>112735.18413200133</v>
      </c>
      <c r="P16" s="222"/>
      <c r="Q16" s="222">
        <f t="shared" si="0"/>
        <v>116680.91557662137</v>
      </c>
      <c r="R16" s="222"/>
      <c r="S16" s="222">
        <f t="shared" si="0"/>
        <v>120764.74762180311</v>
      </c>
      <c r="T16" s="222"/>
      <c r="U16" s="222">
        <f t="shared" si="0"/>
        <v>124991.51378856621</v>
      </c>
      <c r="V16" s="222"/>
      <c r="W16" s="222">
        <f t="shared" si="0"/>
        <v>129366.21677116601</v>
      </c>
      <c r="X16" s="222"/>
      <c r="Y16" s="222">
        <f t="shared" si="0"/>
        <v>133894.03435815682</v>
      </c>
      <c r="Z16" s="222"/>
      <c r="AA16" s="222">
        <f t="shared" si="0"/>
        <v>138580.32556069229</v>
      </c>
      <c r="AB16" s="222"/>
      <c r="AC16" s="222">
        <f t="shared" si="0"/>
        <v>143430.6369553165</v>
      </c>
      <c r="AD16" s="222"/>
      <c r="AE16" s="222">
        <f t="shared" si="0"/>
        <v>148450.70924875257</v>
      </c>
      <c r="AF16" s="222"/>
      <c r="AG16" s="222">
        <f t="shared" si="0"/>
        <v>153646.4840724589</v>
      </c>
    </row>
    <row r="17" spans="1:33" s="210" customFormat="1" ht="13.8">
      <c r="A17" s="210" t="s">
        <v>559</v>
      </c>
      <c r="C17" s="233"/>
      <c r="E17" s="222">
        <f>Application!W863</f>
        <v>170200</v>
      </c>
      <c r="F17" s="222"/>
      <c r="G17" s="222">
        <f t="shared" si="0"/>
        <v>176157</v>
      </c>
      <c r="H17" s="222"/>
      <c r="I17" s="222">
        <f t="shared" si="0"/>
        <v>182322.495</v>
      </c>
      <c r="J17" s="222"/>
      <c r="K17" s="222">
        <f t="shared" si="0"/>
        <v>188703.78232499998</v>
      </c>
      <c r="L17" s="222"/>
      <c r="M17" s="222">
        <f t="shared" si="0"/>
        <v>195308.41470637496</v>
      </c>
      <c r="N17" s="222"/>
      <c r="O17" s="222">
        <f t="shared" si="0"/>
        <v>202144.20922109808</v>
      </c>
      <c r="P17" s="222"/>
      <c r="Q17" s="222">
        <f t="shared" si="0"/>
        <v>209219.2565438365</v>
      </c>
      <c r="R17" s="222"/>
      <c r="S17" s="222">
        <f t="shared" si="0"/>
        <v>216541.93052287077</v>
      </c>
      <c r="T17" s="222"/>
      <c r="U17" s="222">
        <f t="shared" si="0"/>
        <v>224120.89809117123</v>
      </c>
      <c r="V17" s="222"/>
      <c r="W17" s="222">
        <f t="shared" si="0"/>
        <v>231965.12952436222</v>
      </c>
      <c r="X17" s="222"/>
      <c r="Y17" s="222">
        <f t="shared" si="0"/>
        <v>240083.90905771486</v>
      </c>
      <c r="Z17" s="222"/>
      <c r="AA17" s="222">
        <f t="shared" si="0"/>
        <v>248486.84587473486</v>
      </c>
      <c r="AB17" s="222"/>
      <c r="AC17" s="222">
        <f t="shared" si="0"/>
        <v>257183.88548035055</v>
      </c>
      <c r="AD17" s="222"/>
      <c r="AE17" s="222">
        <f t="shared" si="0"/>
        <v>266185.32147216279</v>
      </c>
      <c r="AF17" s="222"/>
      <c r="AG17" s="222">
        <f t="shared" si="0"/>
        <v>275501.80772368849</v>
      </c>
    </row>
    <row r="18" spans="1:33" s="210" customFormat="1" ht="13.8">
      <c r="A18" s="210" t="s">
        <v>840</v>
      </c>
      <c r="C18" s="233"/>
      <c r="E18" s="222">
        <f>Application!W870</f>
        <v>180000</v>
      </c>
      <c r="F18" s="222"/>
      <c r="G18" s="222">
        <f t="shared" si="0"/>
        <v>186300</v>
      </c>
      <c r="H18" s="222"/>
      <c r="I18" s="222">
        <f t="shared" si="0"/>
        <v>192820.49999999997</v>
      </c>
      <c r="J18" s="222"/>
      <c r="K18" s="222">
        <f t="shared" si="0"/>
        <v>199569.21749999994</v>
      </c>
      <c r="L18" s="222"/>
      <c r="M18" s="222">
        <f t="shared" si="0"/>
        <v>206554.14011249991</v>
      </c>
      <c r="N18" s="222"/>
      <c r="O18" s="222">
        <f t="shared" si="0"/>
        <v>213783.53501643738</v>
      </c>
      <c r="P18" s="222"/>
      <c r="Q18" s="222">
        <f t="shared" si="0"/>
        <v>221265.95874201268</v>
      </c>
      <c r="R18" s="222"/>
      <c r="S18" s="222">
        <f t="shared" si="0"/>
        <v>229010.26729798311</v>
      </c>
      <c r="T18" s="222"/>
      <c r="U18" s="222">
        <f t="shared" si="0"/>
        <v>237025.6266534125</v>
      </c>
      <c r="V18" s="222"/>
      <c r="W18" s="222">
        <f t="shared" si="0"/>
        <v>245321.52358628192</v>
      </c>
      <c r="X18" s="222"/>
      <c r="Y18" s="222">
        <f t="shared" si="0"/>
        <v>253907.77691180177</v>
      </c>
      <c r="Z18" s="222"/>
      <c r="AA18" s="222">
        <f t="shared" si="0"/>
        <v>262794.54910371482</v>
      </c>
      <c r="AB18" s="222"/>
      <c r="AC18" s="222">
        <f t="shared" si="0"/>
        <v>271992.35832234484</v>
      </c>
      <c r="AD18" s="222"/>
      <c r="AE18" s="222">
        <f t="shared" si="0"/>
        <v>281512.09086362686</v>
      </c>
      <c r="AF18" s="222"/>
      <c r="AG18" s="222">
        <f t="shared" si="0"/>
        <v>291365.01404385379</v>
      </c>
    </row>
    <row r="19" spans="1:33" s="210" customFormat="1" ht="13.8">
      <c r="A19" s="210" t="s">
        <v>155</v>
      </c>
      <c r="C19" s="233"/>
      <c r="E19" s="222">
        <f>Application!W872</f>
        <v>69000</v>
      </c>
      <c r="F19" s="222"/>
      <c r="G19" s="222">
        <f t="shared" si="0"/>
        <v>71415</v>
      </c>
      <c r="H19" s="222"/>
      <c r="I19" s="222">
        <f t="shared" si="0"/>
        <v>73914.524999999994</v>
      </c>
      <c r="J19" s="222"/>
      <c r="K19" s="222">
        <f t="shared" si="0"/>
        <v>76501.533374999985</v>
      </c>
      <c r="L19" s="222"/>
      <c r="M19" s="222">
        <f t="shared" si="0"/>
        <v>79179.087043124979</v>
      </c>
      <c r="N19" s="222"/>
      <c r="O19" s="222">
        <f t="shared" si="0"/>
        <v>81950.355089634351</v>
      </c>
      <c r="P19" s="222"/>
      <c r="Q19" s="222">
        <f t="shared" si="0"/>
        <v>84818.617517771549</v>
      </c>
      <c r="R19" s="222"/>
      <c r="S19" s="222">
        <f t="shared" si="0"/>
        <v>87787.269130893546</v>
      </c>
      <c r="T19" s="222"/>
      <c r="U19" s="222">
        <f t="shared" si="0"/>
        <v>90859.823550474815</v>
      </c>
      <c r="V19" s="222"/>
      <c r="W19" s="222">
        <f t="shared" si="0"/>
        <v>94039.917374741432</v>
      </c>
      <c r="X19" s="222"/>
      <c r="Y19" s="222">
        <f t="shared" si="0"/>
        <v>97331.314482857371</v>
      </c>
      <c r="Z19" s="222"/>
      <c r="AA19" s="222">
        <f t="shared" si="0"/>
        <v>100737.91048975737</v>
      </c>
      <c r="AB19" s="222"/>
      <c r="AC19" s="222">
        <f t="shared" si="0"/>
        <v>104263.73735689887</v>
      </c>
      <c r="AD19" s="222"/>
      <c r="AE19" s="222">
        <f t="shared" si="0"/>
        <v>107912.96816439032</v>
      </c>
      <c r="AF19" s="222"/>
      <c r="AG19" s="222">
        <f t="shared" si="0"/>
        <v>111689.92205014397</v>
      </c>
    </row>
    <row r="20" spans="1:33" s="210" customFormat="1" ht="13.8">
      <c r="A20" s="210" t="s">
        <v>389</v>
      </c>
      <c r="C20" s="233"/>
      <c r="E20" s="222">
        <f>Application!W881</f>
        <v>190000</v>
      </c>
      <c r="F20" s="222"/>
      <c r="G20" s="222">
        <f t="shared" si="0"/>
        <v>196649.99999999997</v>
      </c>
      <c r="H20" s="222"/>
      <c r="I20" s="222">
        <f t="shared" si="0"/>
        <v>203532.74999999994</v>
      </c>
      <c r="J20" s="222"/>
      <c r="K20" s="222">
        <f t="shared" si="0"/>
        <v>210656.39624999993</v>
      </c>
      <c r="L20" s="222"/>
      <c r="M20" s="222">
        <f t="shared" si="0"/>
        <v>218029.37011874991</v>
      </c>
      <c r="N20" s="222"/>
      <c r="O20" s="222">
        <f t="shared" si="0"/>
        <v>225660.39807290613</v>
      </c>
      <c r="P20" s="222"/>
      <c r="Q20" s="222">
        <f t="shared" si="0"/>
        <v>233558.51200545783</v>
      </c>
      <c r="R20" s="222"/>
      <c r="S20" s="222">
        <f t="shared" si="0"/>
        <v>241733.05992564882</v>
      </c>
      <c r="T20" s="222"/>
      <c r="U20" s="222">
        <f t="shared" si="0"/>
        <v>250193.71702304651</v>
      </c>
      <c r="V20" s="222"/>
      <c r="W20" s="222">
        <f t="shared" si="0"/>
        <v>258950.49711885312</v>
      </c>
      <c r="X20" s="222"/>
      <c r="Y20" s="222">
        <f t="shared" si="0"/>
        <v>268013.76451801293</v>
      </c>
      <c r="Z20" s="222"/>
      <c r="AA20" s="222">
        <f t="shared" si="0"/>
        <v>277394.24627614336</v>
      </c>
      <c r="AB20" s="222"/>
      <c r="AC20" s="222">
        <f t="shared" si="0"/>
        <v>287103.04489580833</v>
      </c>
      <c r="AD20" s="222"/>
      <c r="AE20" s="222">
        <f t="shared" si="0"/>
        <v>297151.6514671616</v>
      </c>
      <c r="AF20" s="222"/>
      <c r="AG20" s="222">
        <f t="shared" si="0"/>
        <v>307551.95926851226</v>
      </c>
    </row>
    <row r="21" spans="1:33" s="210" customFormat="1" ht="13.8">
      <c r="A21" s="226" t="s">
        <v>960</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3.8">
      <c r="A22" s="223" t="s">
        <v>841</v>
      </c>
      <c r="C22" s="233"/>
      <c r="E22" s="223">
        <f>SUM(E15:E21)</f>
        <v>791000</v>
      </c>
      <c r="G22" s="223">
        <f>SUM(G15:G21)</f>
        <v>818685</v>
      </c>
      <c r="I22" s="223">
        <f>SUM(I15:I21)</f>
        <v>847338.97499999986</v>
      </c>
      <c r="K22" s="223">
        <f>SUM(K15:K21)</f>
        <v>876995.83912499971</v>
      </c>
      <c r="M22" s="223">
        <f>SUM(M15:M21)</f>
        <v>907690.69349437463</v>
      </c>
      <c r="O22" s="223">
        <f>SUM(O15:O21)</f>
        <v>939459.86776667763</v>
      </c>
      <c r="Q22" s="223">
        <f>SUM(Q15:Q21)</f>
        <v>972340.9631385114</v>
      </c>
      <c r="S22" s="223">
        <f>SUM(S15:S21)</f>
        <v>1006372.8968483591</v>
      </c>
      <c r="U22" s="223">
        <f>SUM(U15:U21)</f>
        <v>1041595.9482380517</v>
      </c>
      <c r="W22" s="223">
        <f>SUM(W15:W21)</f>
        <v>1078051.8064263833</v>
      </c>
      <c r="Y22" s="223">
        <f>SUM(Y15:Y21)</f>
        <v>1115783.6196513067</v>
      </c>
      <c r="AA22" s="223">
        <f>SUM(AA15:AA21)</f>
        <v>1154836.0463391026</v>
      </c>
      <c r="AC22" s="223">
        <f>SUM(AC15:AC21)</f>
        <v>1195255.3079609708</v>
      </c>
      <c r="AE22" s="223">
        <f>SUM(AE15:AE21)</f>
        <v>1237089.2437396047</v>
      </c>
      <c r="AG22" s="223">
        <f>SUM(AG15:AG21)</f>
        <v>1280387.3672704909</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1668</v>
      </c>
      <c r="C24" s="233">
        <v>1.02</v>
      </c>
      <c r="E24" s="901">
        <v>785342</v>
      </c>
      <c r="F24" s="222"/>
      <c r="G24" s="222">
        <f>E24*$C$24</f>
        <v>801048.84</v>
      </c>
      <c r="H24" s="222"/>
      <c r="I24" s="222">
        <f>G24*$C$24</f>
        <v>817069.81680000003</v>
      </c>
      <c r="J24" s="222"/>
      <c r="K24" s="222">
        <f>I24*$C$24</f>
        <v>833411.21313600009</v>
      </c>
      <c r="L24" s="222"/>
      <c r="M24" s="222">
        <f>K24*$C$24</f>
        <v>850079.43739872007</v>
      </c>
      <c r="N24" s="222"/>
      <c r="O24" s="222">
        <f>M24*$C$24</f>
        <v>867081.02614669444</v>
      </c>
      <c r="P24" s="222"/>
      <c r="Q24" s="222">
        <f>O24*$C$24</f>
        <v>884422.64666962833</v>
      </c>
      <c r="R24" s="222"/>
      <c r="S24" s="222">
        <f>Q24*$C$24</f>
        <v>902111.09960302094</v>
      </c>
      <c r="T24" s="222"/>
      <c r="U24" s="222">
        <f>S24*$C$24</f>
        <v>920153.32159508136</v>
      </c>
      <c r="V24" s="222"/>
      <c r="W24" s="222">
        <f>U24*$C$24</f>
        <v>938556.38802698301</v>
      </c>
      <c r="X24" s="222"/>
      <c r="Y24" s="222">
        <f>W24*$C$24</f>
        <v>957327.51578752266</v>
      </c>
      <c r="Z24" s="222"/>
      <c r="AA24" s="222">
        <f>Y24*$C$24</f>
        <v>976474.06610327307</v>
      </c>
      <c r="AB24" s="222"/>
      <c r="AC24" s="222">
        <f>AA24*$C$24</f>
        <v>996003.54742533853</v>
      </c>
      <c r="AD24" s="222"/>
      <c r="AE24" s="222">
        <f>AC24*$C$24</f>
        <v>1015923.6183738454</v>
      </c>
      <c r="AF24" s="222"/>
      <c r="AG24" s="222">
        <f>AE24*$C$24</f>
        <v>1036242.0907413223</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843</v>
      </c>
      <c r="C27" s="237">
        <v>1.0349999999999999</v>
      </c>
      <c r="E27" s="222">
        <f>Application!AC897</f>
        <v>27600</v>
      </c>
      <c r="F27" s="222"/>
      <c r="G27" s="222">
        <f>E27*$C$27</f>
        <v>28565.999999999996</v>
      </c>
      <c r="H27" s="222"/>
      <c r="I27" s="222">
        <f>G27*$C$27</f>
        <v>29565.809999999994</v>
      </c>
      <c r="J27" s="222"/>
      <c r="K27" s="222">
        <f>I27*$C$27</f>
        <v>30600.613349999992</v>
      </c>
      <c r="L27" s="222"/>
      <c r="M27" s="222">
        <f>K27*$C$27</f>
        <v>31671.634817249989</v>
      </c>
      <c r="N27" s="222"/>
      <c r="O27" s="222">
        <f>M27*$C$27</f>
        <v>32780.142035853736</v>
      </c>
      <c r="P27" s="222"/>
      <c r="Q27" s="222">
        <f>O27*$C$27</f>
        <v>33927.447007108611</v>
      </c>
      <c r="R27" s="222"/>
      <c r="S27" s="222">
        <f>Q27*$C$27</f>
        <v>35114.907652357411</v>
      </c>
      <c r="T27" s="222"/>
      <c r="U27" s="222">
        <f>S27*$C$27</f>
        <v>36343.929420189917</v>
      </c>
      <c r="V27" s="222"/>
      <c r="W27" s="222">
        <f>U27*$C$27</f>
        <v>37615.96694989656</v>
      </c>
      <c r="X27" s="222"/>
      <c r="Y27" s="222">
        <f>W27*$C$27</f>
        <v>38932.525793142937</v>
      </c>
      <c r="Z27" s="222"/>
      <c r="AA27" s="222">
        <f>Y27*$C$27</f>
        <v>40295.164195902937</v>
      </c>
      <c r="AB27" s="222"/>
      <c r="AC27" s="222">
        <f>AA27*$C$27</f>
        <v>41705.494942759535</v>
      </c>
      <c r="AD27" s="222"/>
      <c r="AE27" s="222">
        <f>AC27*$C$27</f>
        <v>43165.187265756118</v>
      </c>
      <c r="AF27" s="222"/>
      <c r="AG27" s="222">
        <f>AE27*$C$27</f>
        <v>44675.968820057577</v>
      </c>
    </row>
    <row r="28" spans="1:33" s="210" customFormat="1" ht="13.8">
      <c r="A28" s="210" t="s">
        <v>844</v>
      </c>
      <c r="C28" s="237"/>
      <c r="E28" s="222">
        <f>Application!AC898</f>
        <v>28250</v>
      </c>
      <c r="F28" s="222"/>
      <c r="G28" s="222">
        <f>$E$28</f>
        <v>28250</v>
      </c>
      <c r="H28" s="222"/>
      <c r="I28" s="222">
        <f>$E$28</f>
        <v>28250</v>
      </c>
      <c r="J28" s="222"/>
      <c r="K28" s="222">
        <f>$E$28</f>
        <v>28250</v>
      </c>
      <c r="L28" s="222"/>
      <c r="M28" s="222">
        <f>$E$28</f>
        <v>28250</v>
      </c>
      <c r="N28" s="222"/>
      <c r="O28" s="222">
        <f>$E$28</f>
        <v>28250</v>
      </c>
      <c r="P28" s="222"/>
      <c r="Q28" s="222">
        <f>$E$28</f>
        <v>28250</v>
      </c>
      <c r="R28" s="222"/>
      <c r="S28" s="222">
        <f>$E$28</f>
        <v>28250</v>
      </c>
      <c r="T28" s="222"/>
      <c r="U28" s="222">
        <f>$E$28</f>
        <v>28250</v>
      </c>
      <c r="V28" s="222"/>
      <c r="W28" s="222">
        <f>$E$28</f>
        <v>28250</v>
      </c>
      <c r="X28" s="222"/>
      <c r="Y28" s="222">
        <f>$E$28</f>
        <v>28250</v>
      </c>
      <c r="Z28" s="222"/>
      <c r="AA28" s="222">
        <f>$E$28</f>
        <v>28250</v>
      </c>
      <c r="AB28" s="222"/>
      <c r="AC28" s="222">
        <f>$E$28</f>
        <v>28250</v>
      </c>
      <c r="AD28" s="222"/>
      <c r="AE28" s="222">
        <f>$E$28</f>
        <v>28250</v>
      </c>
      <c r="AF28" s="222"/>
      <c r="AG28" s="222">
        <f>$E$28</f>
        <v>28250</v>
      </c>
    </row>
    <row r="29" spans="1:33" s="210" customFormat="1" ht="13.8">
      <c r="A29" s="210" t="s">
        <v>1666</v>
      </c>
      <c r="C29" s="237"/>
      <c r="E29" s="222">
        <f>Application!AC899</f>
        <v>10564</v>
      </c>
      <c r="F29" s="222"/>
      <c r="G29" s="222">
        <f>$E$29</f>
        <v>10564</v>
      </c>
      <c r="H29" s="222"/>
      <c r="I29" s="222">
        <f>$E$29</f>
        <v>10564</v>
      </c>
      <c r="J29" s="222"/>
      <c r="K29" s="222">
        <f>$E$29</f>
        <v>10564</v>
      </c>
      <c r="L29" s="222"/>
      <c r="M29" s="222">
        <f>$E$29</f>
        <v>10564</v>
      </c>
      <c r="N29" s="222"/>
      <c r="O29" s="222">
        <f>$E$29</f>
        <v>10564</v>
      </c>
      <c r="P29" s="222"/>
      <c r="Q29" s="222">
        <f>$E$29</f>
        <v>10564</v>
      </c>
      <c r="R29" s="222"/>
      <c r="S29" s="222">
        <f>$E$29</f>
        <v>10564</v>
      </c>
      <c r="T29" s="222"/>
      <c r="U29" s="222">
        <f>$E$29</f>
        <v>10564</v>
      </c>
      <c r="V29" s="222"/>
      <c r="W29" s="222">
        <f>$E$29</f>
        <v>10564</v>
      </c>
      <c r="X29" s="222"/>
      <c r="Y29" s="222">
        <f>$E$29</f>
        <v>10564</v>
      </c>
      <c r="Z29" s="222"/>
      <c r="AA29" s="222">
        <f>$E$29</f>
        <v>10564</v>
      </c>
      <c r="AB29" s="222"/>
      <c r="AC29" s="222">
        <f>$E$29</f>
        <v>10564</v>
      </c>
      <c r="AD29" s="222"/>
      <c r="AE29" s="222">
        <f>$E$29</f>
        <v>10564</v>
      </c>
      <c r="AF29" s="222"/>
      <c r="AG29" s="222">
        <f>$E$29</f>
        <v>10564</v>
      </c>
    </row>
    <row r="30" spans="1:33" s="210" customFormat="1" ht="13.8">
      <c r="A30" s="210" t="s">
        <v>842</v>
      </c>
      <c r="C30" s="237">
        <v>1.02</v>
      </c>
      <c r="E30" s="222">
        <f>Application!AC900</f>
        <v>0</v>
      </c>
      <c r="F30" s="222"/>
      <c r="G30" s="222">
        <f>E30*$C$30</f>
        <v>0</v>
      </c>
      <c r="H30" s="222"/>
      <c r="I30" s="222">
        <f>G30*$C$30</f>
        <v>0</v>
      </c>
      <c r="J30" s="222"/>
      <c r="K30" s="222">
        <f>I30*$C$30</f>
        <v>0</v>
      </c>
      <c r="L30" s="222"/>
      <c r="M30" s="222">
        <f>K30*$C$30</f>
        <v>0</v>
      </c>
      <c r="N30" s="222"/>
      <c r="O30" s="222">
        <f>M30*$C$30</f>
        <v>0</v>
      </c>
      <c r="P30" s="222"/>
      <c r="Q30" s="222">
        <f>O30*$C$30</f>
        <v>0</v>
      </c>
      <c r="R30" s="222"/>
      <c r="S30" s="222">
        <f>Q30*$C$30</f>
        <v>0</v>
      </c>
      <c r="T30" s="222"/>
      <c r="U30" s="222">
        <f>S30*$C$30</f>
        <v>0</v>
      </c>
      <c r="V30" s="222"/>
      <c r="W30" s="222">
        <f>U30*$C$30</f>
        <v>0</v>
      </c>
      <c r="X30" s="222"/>
      <c r="Y30" s="222">
        <f>W30*$C$30</f>
        <v>0</v>
      </c>
      <c r="Z30" s="222"/>
      <c r="AA30" s="222">
        <f>Y30*$C$30</f>
        <v>0</v>
      </c>
      <c r="AB30" s="222"/>
      <c r="AC30" s="222">
        <f>AA30*$C$30</f>
        <v>0</v>
      </c>
      <c r="AD30" s="222"/>
      <c r="AE30" s="222">
        <f>AC30*$C$30</f>
        <v>0</v>
      </c>
      <c r="AF30" s="222"/>
      <c r="AG30" s="222">
        <f>AE30*$C$30</f>
        <v>0</v>
      </c>
    </row>
    <row r="31" spans="1:33" s="210" customFormat="1" ht="13.8">
      <c r="A31" s="210" t="s">
        <v>1667</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3.8">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3.8">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3.8">
      <c r="A35" s="223" t="s">
        <v>178</v>
      </c>
      <c r="C35" s="224"/>
      <c r="E35" s="223">
        <f>SUM(E22:E33)</f>
        <v>1642756</v>
      </c>
      <c r="G35" s="223">
        <f>SUM(G22:G33)</f>
        <v>1687113.8399999999</v>
      </c>
      <c r="I35" s="223">
        <f>SUM(I22:I33)</f>
        <v>1732788.6017999998</v>
      </c>
      <c r="K35" s="223">
        <f>SUM(K22:K33)</f>
        <v>1779821.6656109998</v>
      </c>
      <c r="M35" s="223">
        <f>SUM(M22:M33)</f>
        <v>1828255.7657103448</v>
      </c>
      <c r="O35" s="223">
        <f>SUM(O22:O33)</f>
        <v>1878135.0359492258</v>
      </c>
      <c r="Q35" s="223">
        <f>SUM(Q22:Q33)</f>
        <v>1929505.0568152484</v>
      </c>
      <c r="S35" s="223">
        <f>SUM(S22:S33)</f>
        <v>1982412.9041037376</v>
      </c>
      <c r="U35" s="223">
        <f>SUM(U22:U33)</f>
        <v>2036907.199253323</v>
      </c>
      <c r="W35" s="223">
        <f>SUM(W22:W33)</f>
        <v>2093038.161403263</v>
      </c>
      <c r="Y35" s="223">
        <f>SUM(Y22:Y33)</f>
        <v>2150857.6612319723</v>
      </c>
      <c r="AA35" s="223">
        <f>SUM(AA22:AA33)</f>
        <v>2210419.2766382787</v>
      </c>
      <c r="AC35" s="223">
        <f>SUM(AC22:AC33)</f>
        <v>2271778.350329069</v>
      </c>
      <c r="AE35" s="223">
        <f>SUM(AE22:AE33)</f>
        <v>2334992.0493792063</v>
      </c>
      <c r="AG35" s="223">
        <f>SUM(AG22:AG33)</f>
        <v>2400119.4268318703</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3.8">
      <c r="A37" s="223" t="s">
        <v>845</v>
      </c>
      <c r="C37" s="224"/>
      <c r="E37" s="223">
        <f>E11-E35</f>
        <v>1711819.4000000004</v>
      </c>
      <c r="G37" s="223">
        <f>G11-G35</f>
        <v>1751325.9449999998</v>
      </c>
      <c r="I37" s="223">
        <f>I11-I35</f>
        <v>1791612.1778250001</v>
      </c>
      <c r="K37" s="223">
        <f>K11-K35</f>
        <v>1832689.1335046245</v>
      </c>
      <c r="M37" s="223">
        <f>M11-M35</f>
        <v>1874567.8033831699</v>
      </c>
      <c r="O37" s="223">
        <f>O11-O35</f>
        <v>1917259.1223716263</v>
      </c>
      <c r="Q37" s="223">
        <f>Q11-Q35</f>
        <v>1960773.9554636246</v>
      </c>
      <c r="S37" s="223">
        <f>S11-S35</f>
        <v>2005123.0834821074</v>
      </c>
      <c r="U37" s="223">
        <f>U11-U35</f>
        <v>2050317.188022167</v>
      </c>
      <c r="W37" s="223">
        <f>W11-W35</f>
        <v>2096366.8355541136</v>
      </c>
      <c r="Y37" s="223">
        <f>Y11-Y35</f>
        <v>2143282.4606493386</v>
      </c>
      <c r="AA37" s="223">
        <f>AA11-AA35</f>
        <v>2191074.3482900634</v>
      </c>
      <c r="AC37" s="223">
        <f>AC11-AC35</f>
        <v>2239752.6152224815</v>
      </c>
      <c r="AE37" s="223">
        <f>AE11-AE35</f>
        <v>2289327.1903111329</v>
      </c>
      <c r="AG37" s="223">
        <f>AG11-AG35</f>
        <v>2339807.7938507264</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3.8">
      <c r="A39" s="218" t="s">
        <v>858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tr">
        <f>Application!C635</f>
        <v>CitiBank</v>
      </c>
      <c r="B40" s="226"/>
      <c r="C40" s="220"/>
      <c r="E40" s="222">
        <f>Application!AF635</f>
        <v>1484393</v>
      </c>
      <c r="F40" s="222"/>
      <c r="G40" s="222">
        <f>$E$40</f>
        <v>1484393</v>
      </c>
      <c r="H40" s="222"/>
      <c r="I40" s="222">
        <f>$E$40</f>
        <v>1484393</v>
      </c>
      <c r="J40" s="222"/>
      <c r="K40" s="222">
        <f>$E$40</f>
        <v>1484393</v>
      </c>
      <c r="L40" s="222"/>
      <c r="M40" s="222">
        <f>$E$40</f>
        <v>1484393</v>
      </c>
      <c r="N40" s="222"/>
      <c r="O40" s="222">
        <f>$E$40</f>
        <v>1484393</v>
      </c>
      <c r="P40" s="222"/>
      <c r="Q40" s="222">
        <f>$E$40</f>
        <v>1484393</v>
      </c>
      <c r="R40" s="222"/>
      <c r="S40" s="222">
        <f>$E$40</f>
        <v>1484393</v>
      </c>
      <c r="T40" s="222"/>
      <c r="U40" s="222">
        <f>$E$40</f>
        <v>1484393</v>
      </c>
      <c r="V40" s="222"/>
      <c r="W40" s="222">
        <f>$E$40</f>
        <v>1484393</v>
      </c>
      <c r="X40" s="222"/>
      <c r="Y40" s="222">
        <f>$E$40</f>
        <v>1484393</v>
      </c>
      <c r="Z40" s="222"/>
      <c r="AA40" s="222">
        <f>$E$40</f>
        <v>1484393</v>
      </c>
      <c r="AB40" s="222"/>
      <c r="AC40" s="222">
        <f>$E$40</f>
        <v>1484393</v>
      </c>
      <c r="AD40" s="222"/>
      <c r="AE40" s="222">
        <f>$E$40</f>
        <v>1484393</v>
      </c>
      <c r="AF40" s="222"/>
      <c r="AG40" s="222">
        <f>$E$40</f>
        <v>1484393</v>
      </c>
    </row>
    <row r="41" spans="1:33" s="210" customFormat="1" ht="13.8">
      <c r="A41" s="225" t="str">
        <f>Application!C636</f>
        <v>CitiBank</v>
      </c>
      <c r="B41" s="226"/>
      <c r="C41" s="220"/>
      <c r="E41" s="222">
        <v>4146</v>
      </c>
      <c r="F41" s="222"/>
      <c r="G41" s="222">
        <f>$E$41</f>
        <v>4146</v>
      </c>
      <c r="H41" s="222"/>
      <c r="I41" s="222">
        <f>$E$41</f>
        <v>4146</v>
      </c>
      <c r="J41" s="222"/>
      <c r="K41" s="222">
        <f>$E$41</f>
        <v>4146</v>
      </c>
      <c r="L41" s="222"/>
      <c r="M41" s="222">
        <f>$E$41</f>
        <v>4146</v>
      </c>
      <c r="N41" s="222"/>
      <c r="O41" s="222">
        <f>$E$41</f>
        <v>4146</v>
      </c>
      <c r="P41" s="222"/>
      <c r="Q41" s="222">
        <f>$E$41</f>
        <v>4146</v>
      </c>
      <c r="R41" s="222"/>
      <c r="S41" s="222">
        <f>$E$41</f>
        <v>4146</v>
      </c>
      <c r="T41" s="222"/>
      <c r="U41" s="222">
        <f>$E$41</f>
        <v>4146</v>
      </c>
      <c r="V41" s="222"/>
      <c r="W41" s="222">
        <f>$E$41</f>
        <v>4146</v>
      </c>
      <c r="X41" s="222"/>
      <c r="Y41" s="222">
        <f>$E$41</f>
        <v>4146</v>
      </c>
      <c r="Z41" s="222"/>
      <c r="AA41" s="222">
        <f>$E$41</f>
        <v>4146</v>
      </c>
      <c r="AB41" s="222"/>
      <c r="AC41" s="222">
        <f>$E$41</f>
        <v>4146</v>
      </c>
      <c r="AD41" s="222"/>
      <c r="AE41" s="222">
        <f>$E$41</f>
        <v>4146</v>
      </c>
      <c r="AF41" s="222"/>
      <c r="AG41" s="222">
        <f>$E$41</f>
        <v>4146</v>
      </c>
    </row>
    <row r="42" spans="1:33" s="210" customFormat="1" ht="13.8">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3.8">
      <c r="A43" s="223" t="s">
        <v>846</v>
      </c>
      <c r="C43" s="224"/>
      <c r="E43" s="223">
        <f>SUM(E40:E42)</f>
        <v>1488539</v>
      </c>
      <c r="G43" s="223">
        <f>SUM(G40:G42)</f>
        <v>1488539</v>
      </c>
      <c r="I43" s="223">
        <f>SUM(I40:I42)</f>
        <v>1488539</v>
      </c>
      <c r="K43" s="223">
        <f>SUM(K40:K42)</f>
        <v>1488539</v>
      </c>
      <c r="M43" s="223">
        <f>SUM(M40:M42)</f>
        <v>1488539</v>
      </c>
      <c r="O43" s="223">
        <f>SUM(O40:O42)</f>
        <v>1488539</v>
      </c>
      <c r="Q43" s="223">
        <f>SUM(Q40:Q42)</f>
        <v>1488539</v>
      </c>
      <c r="S43" s="223">
        <f>SUM(S40:S42)</f>
        <v>1488539</v>
      </c>
      <c r="U43" s="223">
        <f>SUM(U40:U42)</f>
        <v>1488539</v>
      </c>
      <c r="W43" s="223">
        <f>SUM(W40:W42)</f>
        <v>1488539</v>
      </c>
      <c r="Y43" s="223">
        <f>SUM(Y40:Y42)</f>
        <v>1488539</v>
      </c>
      <c r="AA43" s="223">
        <f>SUM(AA40:AA42)</f>
        <v>1488539</v>
      </c>
      <c r="AC43" s="223">
        <f>SUM(AC40:AC42)</f>
        <v>1488539</v>
      </c>
      <c r="AE43" s="223">
        <f>SUM(AE40:AE42)</f>
        <v>1488539</v>
      </c>
      <c r="AG43" s="223">
        <f>SUM(AG40:AG42)</f>
        <v>1488539</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3.8">
      <c r="A45" s="223" t="s">
        <v>847</v>
      </c>
      <c r="C45" s="224"/>
      <c r="E45" s="223">
        <f>E37-E43</f>
        <v>223280.40000000037</v>
      </c>
      <c r="G45" s="223">
        <f>G37-G43</f>
        <v>262786.94499999983</v>
      </c>
      <c r="I45" s="223">
        <f>I37-I43</f>
        <v>303073.17782500014</v>
      </c>
      <c r="K45" s="223">
        <f>K37-K43</f>
        <v>344150.13350462448</v>
      </c>
      <c r="M45" s="223">
        <f>M37-M43</f>
        <v>386028.80338316993</v>
      </c>
      <c r="O45" s="223">
        <f>O37-O43</f>
        <v>428720.12237162632</v>
      </c>
      <c r="Q45" s="223">
        <f>Q37-Q43</f>
        <v>472234.95546362456</v>
      </c>
      <c r="S45" s="223">
        <f>S37-S43</f>
        <v>516584.08348210738</v>
      </c>
      <c r="U45" s="223">
        <f>U37-U43</f>
        <v>561778.18802216696</v>
      </c>
      <c r="W45" s="223">
        <f>W37-W43</f>
        <v>607827.83555411361</v>
      </c>
      <c r="Y45" s="223">
        <f>Y37-Y43</f>
        <v>654743.46064933855</v>
      </c>
      <c r="AA45" s="223">
        <f>AA37-AA43</f>
        <v>702535.34829006344</v>
      </c>
      <c r="AC45" s="223">
        <f>AC37-AC43</f>
        <v>751213.61522248155</v>
      </c>
      <c r="AE45" s="223">
        <f>AE37-AE43</f>
        <v>800788.19031113293</v>
      </c>
      <c r="AG45" s="223">
        <f>AG37-AG43</f>
        <v>851268.79385072645</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849</v>
      </c>
      <c r="C47" s="220"/>
      <c r="E47" s="227">
        <f>E45/(E4+E6+E8)</f>
        <v>6.3231960742334295E-2</v>
      </c>
      <c r="G47" s="227">
        <f>G45/(G4+G6+G8)</f>
        <v>7.2604906108600029E-2</v>
      </c>
      <c r="I47" s="227">
        <f>I45/(I4+I6+I8)</f>
        <v>8.1693183306010136E-2</v>
      </c>
      <c r="K47" s="227">
        <f>K45/(K4+K6+K8)</f>
        <v>9.0502878748329768E-2</v>
      </c>
      <c r="M47" s="227">
        <f>M45/(M4+M6+M8)</f>
        <v>9.9039923553200682E-2</v>
      </c>
      <c r="O47" s="227">
        <f>O45/(O4+O6+O8)</f>
        <v>0.10731009725567858</v>
      </c>
      <c r="Q47" s="227">
        <f>Q45/(Q4+Q6+Q8)</f>
        <v>0.11531903143051066</v>
      </c>
      <c r="S47" s="227">
        <f>S45/(S4+S6+S8)</f>
        <v>0.12307221322537015</v>
      </c>
      <c r="U47" s="227">
        <f>U45/(U4+U6+U8)</f>
        <v>0.13057498880721141</v>
      </c>
      <c r="W47" s="227">
        <f>W45/(W4+W6+W8)</f>
        <v>0.13783256672386188</v>
      </c>
      <c r="Y47" s="227">
        <f>Y45/(Y4+Y6+Y8)</f>
        <v>0.14485002118290535</v>
      </c>
      <c r="AA47" s="227">
        <f>AA45/(AA4+AA6+AA8)</f>
        <v>0.15163229524987121</v>
      </c>
      <c r="AC47" s="227">
        <f>AC45/(AC4+AC6+AC8)</f>
        <v>0.15818420396769034</v>
      </c>
      <c r="AE47" s="227">
        <f>AE45/(AE4+AE6+AE8)</f>
        <v>0.164510437399326</v>
      </c>
      <c r="AG47" s="227">
        <f>AG45/(AG4+AG6+AG8)</f>
        <v>0.17061556359545293</v>
      </c>
    </row>
    <row r="48" spans="1:33" s="227" customFormat="1" ht="13.8">
      <c r="A48" s="227" t="s">
        <v>850</v>
      </c>
      <c r="C48" s="220"/>
      <c r="E48" s="227">
        <f>E45/E43</f>
        <v>0.14999969769015148</v>
      </c>
      <c r="G48" s="227">
        <f>G45/G43</f>
        <v>0.17654018134560118</v>
      </c>
      <c r="I48" s="227">
        <f>I45/I43</f>
        <v>0.20360445901988469</v>
      </c>
      <c r="K48" s="227">
        <f>K45/K43</f>
        <v>0.23119994404219471</v>
      </c>
      <c r="M48" s="227">
        <f>M45/M43</f>
        <v>0.25933402039393655</v>
      </c>
      <c r="O48" s="227">
        <f>O45/O43</f>
        <v>0.28801403414463866</v>
      </c>
      <c r="Q48" s="227">
        <f>Q45/Q43</f>
        <v>0.3172472843933713</v>
      </c>
      <c r="S48" s="227">
        <f>S45/S43</f>
        <v>0.34704101369336471</v>
      </c>
      <c r="U48" s="227">
        <f>U45/U43</f>
        <v>0.37740239793661229</v>
      </c>
      <c r="W48" s="227">
        <f>W45/W43</f>
        <v>0.40833853567431799</v>
      </c>
      <c r="Y48" s="227">
        <f>Y45/Y43</f>
        <v>0.43985643684803594</v>
      </c>
      <c r="AA48" s="227">
        <f>AA45/AA43</f>
        <v>0.47196301090536658</v>
      </c>
      <c r="AC48" s="227">
        <f>AC45/AC43</f>
        <v>0.5046650542730029</v>
      </c>
      <c r="AE48" s="227">
        <f>AE45/AE43</f>
        <v>0.53796923715880662</v>
      </c>
      <c r="AG48" s="227">
        <f>AG45/AG43</f>
        <v>0.57188208965349674</v>
      </c>
    </row>
    <row r="49" spans="1:34" s="228" customFormat="1" ht="13.8">
      <c r="A49" s="228" t="s">
        <v>848</v>
      </c>
      <c r="C49" s="229"/>
      <c r="E49" s="228">
        <f>E37/E43</f>
        <v>1.1499996976901514</v>
      </c>
      <c r="G49" s="228">
        <f>G37/G43</f>
        <v>1.1765401813456011</v>
      </c>
      <c r="I49" s="228">
        <f>I37/I43</f>
        <v>1.2036044590198847</v>
      </c>
      <c r="K49" s="228">
        <f>K37/K43</f>
        <v>1.2311999440421948</v>
      </c>
      <c r="M49" s="228">
        <f>M37/M43</f>
        <v>1.2593340203939365</v>
      </c>
      <c r="O49" s="228">
        <f>O37/O43</f>
        <v>1.2880140341446387</v>
      </c>
      <c r="Q49" s="228">
        <f>Q37/Q43</f>
        <v>1.3172472843933714</v>
      </c>
      <c r="S49" s="228">
        <f>S37/S43</f>
        <v>1.3470410136933646</v>
      </c>
      <c r="U49" s="228">
        <f>U37/U43</f>
        <v>1.3774023979366123</v>
      </c>
      <c r="W49" s="228">
        <f>W37/W43</f>
        <v>1.4083385356743179</v>
      </c>
      <c r="Y49" s="228">
        <f>Y37/Y43</f>
        <v>1.439856436848036</v>
      </c>
      <c r="AA49" s="228">
        <f>AA37/AA43</f>
        <v>1.4719630109053665</v>
      </c>
      <c r="AC49" s="228">
        <f>AC37/AC43</f>
        <v>1.5046650542730029</v>
      </c>
      <c r="AE49" s="228">
        <f>AE37/AE43</f>
        <v>1.5379692371588067</v>
      </c>
      <c r="AG49" s="228">
        <f>AG37/AG43</f>
        <v>1.5718820896534969</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5" t="s">
        <v>2793</v>
      </c>
      <c r="B52" s="2705"/>
      <c r="C52" s="270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852</v>
      </c>
      <c r="C53" s="954">
        <v>1.0349999999999999</v>
      </c>
      <c r="E53" s="955">
        <v>11300</v>
      </c>
      <c r="G53" s="951">
        <f>E53*$C$53</f>
        <v>11695.5</v>
      </c>
      <c r="I53" s="951">
        <f>G53*$C$53</f>
        <v>12104.842499999999</v>
      </c>
      <c r="K53" s="951">
        <f>I53*$C$53</f>
        <v>12528.511987499998</v>
      </c>
      <c r="M53" s="951">
        <f>K53*$C$53</f>
        <v>12967.009907062496</v>
      </c>
      <c r="O53" s="951">
        <f>M53*$C$53</f>
        <v>13420.855253809683</v>
      </c>
      <c r="Q53" s="951">
        <f>O53*$C$53</f>
        <v>13890.585187693021</v>
      </c>
      <c r="S53" s="951">
        <f>Q53*$C$53</f>
        <v>14376.755669262275</v>
      </c>
      <c r="U53" s="951">
        <f>S53*$C$53</f>
        <v>14879.942117686453</v>
      </c>
      <c r="W53" s="951">
        <f>U53*$C$53</f>
        <v>15400.740091805477</v>
      </c>
      <c r="Y53" s="951">
        <f>W53*$C$53</f>
        <v>15939.765995018668</v>
      </c>
      <c r="AA53" s="951">
        <f>Y53*$C$53</f>
        <v>16497.657804844319</v>
      </c>
      <c r="AC53" s="951">
        <f>AA53*$C$53</f>
        <v>17075.075828013869</v>
      </c>
      <c r="AE53" s="951">
        <f>AC53*$C$53</f>
        <v>17672.703481994355</v>
      </c>
      <c r="AG53" s="951">
        <f>AE53*$C$53</f>
        <v>18291.248103864156</v>
      </c>
    </row>
    <row r="54" spans="1:34" s="3" customFormat="1">
      <c r="A54" s="3" t="s">
        <v>853</v>
      </c>
      <c r="C54" s="949"/>
      <c r="E54" s="956">
        <v>5000</v>
      </c>
      <c r="F54" s="951"/>
      <c r="G54" s="951">
        <f t="shared" ref="G54:AG57" si="1">E54*$C$53</f>
        <v>5175</v>
      </c>
      <c r="H54" s="951"/>
      <c r="I54" s="951">
        <f t="shared" si="1"/>
        <v>5356.125</v>
      </c>
      <c r="J54" s="951"/>
      <c r="K54" s="951">
        <f t="shared" si="1"/>
        <v>5543.5893749999996</v>
      </c>
      <c r="L54" s="951"/>
      <c r="M54" s="951">
        <f t="shared" si="1"/>
        <v>5737.615003124999</v>
      </c>
      <c r="N54" s="951"/>
      <c r="O54" s="951">
        <f t="shared" si="1"/>
        <v>5938.4315282343732</v>
      </c>
      <c r="P54" s="951"/>
      <c r="Q54" s="951">
        <f t="shared" si="1"/>
        <v>6146.276631722576</v>
      </c>
      <c r="R54" s="951"/>
      <c r="S54" s="951">
        <f t="shared" si="1"/>
        <v>6361.3963138328654</v>
      </c>
      <c r="T54" s="951"/>
      <c r="U54" s="951">
        <f t="shared" si="1"/>
        <v>6584.0451848170151</v>
      </c>
      <c r="V54" s="951"/>
      <c r="W54" s="951">
        <f t="shared" si="1"/>
        <v>6814.4867662856104</v>
      </c>
      <c r="X54" s="951"/>
      <c r="Y54" s="951">
        <f t="shared" si="1"/>
        <v>7052.9938031056063</v>
      </c>
      <c r="Z54" s="951"/>
      <c r="AA54" s="951">
        <f t="shared" si="1"/>
        <v>7299.8485862143016</v>
      </c>
      <c r="AB54" s="951"/>
      <c r="AC54" s="951">
        <f t="shared" si="1"/>
        <v>7555.3432867318015</v>
      </c>
      <c r="AD54" s="951"/>
      <c r="AE54" s="951">
        <f t="shared" si="1"/>
        <v>7819.7803017674141</v>
      </c>
      <c r="AF54" s="951"/>
      <c r="AG54" s="951">
        <f t="shared" si="1"/>
        <v>8093.472612329273</v>
      </c>
      <c r="AH54" s="951"/>
    </row>
    <row r="55" spans="1:34" s="3" customFormat="1">
      <c r="A55" s="3" t="s">
        <v>854</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851</v>
      </c>
      <c r="C58" s="952"/>
      <c r="E58" s="951">
        <f>SUM(E53:E57)</f>
        <v>16300</v>
      </c>
      <c r="F58" s="951"/>
      <c r="G58" s="951">
        <f>SUM(G53:G57)</f>
        <v>16870.5</v>
      </c>
      <c r="H58" s="951"/>
      <c r="I58" s="951">
        <f>SUM(I53:I57)</f>
        <v>17460.967499999999</v>
      </c>
      <c r="J58" s="951"/>
      <c r="K58" s="951">
        <f>SUM(K53:K57)</f>
        <v>18072.101362499998</v>
      </c>
      <c r="L58" s="951"/>
      <c r="M58" s="951">
        <f>SUM(M53:M57)</f>
        <v>18704.624910187496</v>
      </c>
      <c r="N58" s="951"/>
      <c r="O58" s="951">
        <f>SUM(O53:O57)</f>
        <v>19359.286782044055</v>
      </c>
      <c r="P58" s="951"/>
      <c r="Q58" s="951">
        <f>SUM(Q53:Q57)</f>
        <v>20036.861819415597</v>
      </c>
      <c r="R58" s="951"/>
      <c r="S58" s="951">
        <f>SUM(S53:S57)</f>
        <v>20738.15198309514</v>
      </c>
      <c r="T58" s="951"/>
      <c r="U58" s="951">
        <f>SUM(U53:U57)</f>
        <v>21463.987302503469</v>
      </c>
      <c r="V58" s="951"/>
      <c r="W58" s="951">
        <f>SUM(W53:W57)</f>
        <v>22215.22685809109</v>
      </c>
      <c r="X58" s="951"/>
      <c r="Y58" s="951">
        <f>SUM(Y53:Y57)</f>
        <v>22992.759798124272</v>
      </c>
      <c r="Z58" s="951"/>
      <c r="AA58" s="951">
        <f>SUM(AA53:AA57)</f>
        <v>23797.506391058621</v>
      </c>
      <c r="AB58" s="951"/>
      <c r="AC58" s="951">
        <f>SUM(AC53:AC57)</f>
        <v>24630.41911474567</v>
      </c>
      <c r="AD58" s="951"/>
      <c r="AE58" s="951">
        <f>SUM(AE53:AE57)</f>
        <v>25492.483783761767</v>
      </c>
      <c r="AF58" s="951"/>
      <c r="AG58" s="951">
        <f>SUM(AG53:AG57)</f>
        <v>26384.720716193428</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856</v>
      </c>
      <c r="C60" s="960"/>
      <c r="E60" s="953">
        <f>E45-E58</f>
        <v>206980.40000000037</v>
      </c>
      <c r="G60" s="953">
        <f>G45-G58</f>
        <v>245916.44499999983</v>
      </c>
      <c r="I60" s="953">
        <f>I45-I58</f>
        <v>285612.21032500011</v>
      </c>
      <c r="K60" s="953">
        <f>K45-K58</f>
        <v>326078.03214212449</v>
      </c>
      <c r="M60" s="953">
        <f>M45-M58</f>
        <v>367324.17847298243</v>
      </c>
      <c r="O60" s="953">
        <f>O45-O58</f>
        <v>409360.83558958228</v>
      </c>
      <c r="Q60" s="953">
        <f>Q45-Q58</f>
        <v>452198.09364420897</v>
      </c>
      <c r="S60" s="953">
        <f>S45-S58</f>
        <v>495845.93149901222</v>
      </c>
      <c r="U60" s="953">
        <f>U45-U58</f>
        <v>540314.20071966352</v>
      </c>
      <c r="W60" s="953">
        <f>W45-W58</f>
        <v>585612.60869602254</v>
      </c>
      <c r="Y60" s="953">
        <f>Y45-Y58</f>
        <v>631750.70085121423</v>
      </c>
      <c r="AA60" s="953">
        <f>AA45-AA58</f>
        <v>678737.84189900476</v>
      </c>
      <c r="AC60" s="953">
        <f>AC45-AC58</f>
        <v>726583.19610773586</v>
      </c>
      <c r="AE60" s="953">
        <f>AE45-AE58</f>
        <v>775295.70652737119</v>
      </c>
      <c r="AG60" s="953">
        <f>AG45-AG58</f>
        <v>824884.07313453301</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855</v>
      </c>
      <c r="C62" s="950">
        <v>0.5</v>
      </c>
      <c r="E62" s="955">
        <f>E60*$C$62</f>
        <v>103490.20000000019</v>
      </c>
      <c r="G62" s="953">
        <f>G60*$C$62</f>
        <v>122958.22249999992</v>
      </c>
      <c r="I62" s="953">
        <f>I60*$C$62</f>
        <v>142806.10516250005</v>
      </c>
      <c r="K62" s="953">
        <f>K60*$C$62</f>
        <v>163039.01607106224</v>
      </c>
      <c r="M62" s="953">
        <f>M60*$C$62</f>
        <v>183662.08923649121</v>
      </c>
      <c r="O62" s="953">
        <f>O60*$C$62</f>
        <v>204680.41779479114</v>
      </c>
      <c r="Q62" s="953">
        <f>Q60*$C$62</f>
        <v>226099.04682210449</v>
      </c>
      <c r="S62" s="953">
        <f>S60*$C$62</f>
        <v>247922.96574950611</v>
      </c>
      <c r="U62" s="953">
        <f>U60*$C$62</f>
        <v>270157.10035983176</v>
      </c>
      <c r="W62" s="953">
        <f>W60*$C$62</f>
        <v>292806.30434801127</v>
      </c>
      <c r="Y62" s="953">
        <f>Y60*$C$62</f>
        <v>315875.35042560712</v>
      </c>
      <c r="AA62" s="953">
        <f>AA60*$C$62</f>
        <v>339368.92094950238</v>
      </c>
      <c r="AC62" s="953">
        <f>AC60*$C$62</f>
        <v>363291.59805386793</v>
      </c>
      <c r="AE62" s="953">
        <f>AE60*$C$62</f>
        <v>387647.8532636856</v>
      </c>
      <c r="AG62" s="953">
        <f>AG60*$C$62</f>
        <v>412442.03656726651</v>
      </c>
    </row>
    <row r="63" spans="1:34" s="953" customFormat="1">
      <c r="A63" s="2705" t="s">
        <v>2798</v>
      </c>
      <c r="B63" s="2705"/>
      <c r="C63" s="270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859</v>
      </c>
      <c r="C65" s="950">
        <v>0.5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tr">
        <f>Application!C637</f>
        <v>Stifel, Nicolaus and Company</v>
      </c>
      <c r="B66" s="955"/>
      <c r="C66" s="954"/>
      <c r="E66" s="955">
        <f>$E60*$C$65</f>
        <v>103490.20000000019</v>
      </c>
      <c r="G66" s="951">
        <f>G60*$C$65</f>
        <v>122958.22249999992</v>
      </c>
      <c r="I66" s="951">
        <f>I60*$C$65</f>
        <v>142806.10516250005</v>
      </c>
      <c r="K66" s="951">
        <f>K60*$C$65</f>
        <v>163039.01607106224</v>
      </c>
      <c r="M66" s="951">
        <f>M60*$C$65</f>
        <v>183662.08923649121</v>
      </c>
      <c r="O66" s="951">
        <f>O60*$C$65</f>
        <v>204680.41779479114</v>
      </c>
      <c r="Q66" s="951">
        <f>Q60*$C$65</f>
        <v>226099.04682210449</v>
      </c>
      <c r="S66" s="951">
        <f>S60*$C$65</f>
        <v>247922.96574950611</v>
      </c>
      <c r="U66" s="951">
        <f>U60*$C$65</f>
        <v>270157.10035983176</v>
      </c>
      <c r="W66" s="951">
        <f>W60*$C$65</f>
        <v>292806.30434801127</v>
      </c>
      <c r="Y66" s="951">
        <f>Y60*$C$65</f>
        <v>315875.35042560712</v>
      </c>
      <c r="AA66" s="951">
        <f>AA60*$C$65</f>
        <v>339368.92094950238</v>
      </c>
      <c r="AC66" s="951">
        <f>AC60*$C$65</f>
        <v>363291.59805386793</v>
      </c>
      <c r="AE66" s="951">
        <f>AE60*$C$65</f>
        <v>387647.8532636856</v>
      </c>
      <c r="AG66" s="951">
        <f>AG60*$C$65</f>
        <v>412442.03656726651</v>
      </c>
    </row>
    <row r="67" spans="1:34" s="951" customFormat="1">
      <c r="A67" s="956"/>
      <c r="B67" s="956"/>
      <c r="C67" s="961"/>
      <c r="E67" s="955"/>
      <c r="G67" s="951">
        <f t="shared" ref="G67" si="2">E67*$C$66</f>
        <v>0</v>
      </c>
      <c r="I67" s="951">
        <f t="shared" ref="I67" si="3">G67*$C$66</f>
        <v>0</v>
      </c>
      <c r="K67" s="951">
        <f t="shared" ref="K67" si="4">I67*$C$66</f>
        <v>0</v>
      </c>
      <c r="M67" s="951">
        <f t="shared" ref="M67" si="5">K67*$C$66</f>
        <v>0</v>
      </c>
      <c r="O67" s="951">
        <f t="shared" ref="O67" si="6">M67*$C$66</f>
        <v>0</v>
      </c>
      <c r="Q67" s="951">
        <f t="shared" ref="Q67" si="7">O67*$C$66</f>
        <v>0</v>
      </c>
      <c r="S67" s="951">
        <f t="shared" ref="S67" si="8">Q67*$C$66</f>
        <v>0</v>
      </c>
      <c r="U67" s="951">
        <f t="shared" ref="U67" si="9">S67*$C$66</f>
        <v>0</v>
      </c>
      <c r="W67" s="951">
        <f t="shared" ref="W67" si="10">U67*$C$66</f>
        <v>0</v>
      </c>
      <c r="Y67" s="951">
        <f t="shared" ref="Y67" si="11">W67*$C$66</f>
        <v>0</v>
      </c>
      <c r="AA67" s="951">
        <f t="shared" ref="AA67" si="12">Y67*$C$66</f>
        <v>0</v>
      </c>
      <c r="AC67" s="951">
        <f t="shared" ref="AC67" si="13">AA67*$C$66</f>
        <v>0</v>
      </c>
      <c r="AE67" s="951">
        <f t="shared" ref="AE67" si="14">AC67*$C$66</f>
        <v>0</v>
      </c>
      <c r="AG67" s="951">
        <f t="shared" ref="AG67" si="15">AE67*$C$66</f>
        <v>0</v>
      </c>
    </row>
    <row r="68" spans="1:34" s="951" customFormat="1">
      <c r="A68" s="956"/>
      <c r="B68" s="956"/>
      <c r="C68" s="961"/>
      <c r="E68" s="956"/>
      <c r="G68" s="951">
        <f t="shared" ref="G68:AG69" si="16">E68*$C$66</f>
        <v>0</v>
      </c>
      <c r="I68" s="951">
        <f t="shared" si="16"/>
        <v>0</v>
      </c>
      <c r="K68" s="951">
        <f t="shared" si="16"/>
        <v>0</v>
      </c>
      <c r="M68" s="951">
        <f t="shared" si="16"/>
        <v>0</v>
      </c>
      <c r="O68" s="951">
        <f t="shared" si="16"/>
        <v>0</v>
      </c>
      <c r="Q68" s="951">
        <f t="shared" si="16"/>
        <v>0</v>
      </c>
      <c r="S68" s="951">
        <f t="shared" si="16"/>
        <v>0</v>
      </c>
      <c r="U68" s="951">
        <f t="shared" si="16"/>
        <v>0</v>
      </c>
      <c r="W68" s="951">
        <f t="shared" si="16"/>
        <v>0</v>
      </c>
      <c r="Y68" s="951">
        <f t="shared" si="16"/>
        <v>0</v>
      </c>
      <c r="AA68" s="951">
        <f t="shared" si="16"/>
        <v>0</v>
      </c>
      <c r="AC68" s="951">
        <f t="shared" si="16"/>
        <v>0</v>
      </c>
      <c r="AE68" s="951">
        <f t="shared" si="16"/>
        <v>0</v>
      </c>
      <c r="AG68" s="951">
        <f t="shared" si="16"/>
        <v>0</v>
      </c>
    </row>
    <row r="69" spans="1:34" s="951" customFormat="1">
      <c r="A69" s="956"/>
      <c r="B69" s="956"/>
      <c r="C69" s="961"/>
      <c r="E69" s="958"/>
      <c r="G69" s="959">
        <f t="shared" si="16"/>
        <v>0</v>
      </c>
      <c r="I69" s="959">
        <f t="shared" si="16"/>
        <v>0</v>
      </c>
      <c r="K69" s="959">
        <f t="shared" si="16"/>
        <v>0</v>
      </c>
      <c r="M69" s="959">
        <f t="shared" si="16"/>
        <v>0</v>
      </c>
      <c r="O69" s="959">
        <f t="shared" si="16"/>
        <v>0</v>
      </c>
      <c r="Q69" s="959">
        <f t="shared" si="16"/>
        <v>0</v>
      </c>
      <c r="S69" s="959">
        <f t="shared" si="16"/>
        <v>0</v>
      </c>
      <c r="U69" s="959">
        <f t="shared" si="16"/>
        <v>0</v>
      </c>
      <c r="W69" s="959">
        <f t="shared" si="16"/>
        <v>0</v>
      </c>
      <c r="Y69" s="959">
        <f t="shared" si="16"/>
        <v>0</v>
      </c>
      <c r="AA69" s="959">
        <f t="shared" si="16"/>
        <v>0</v>
      </c>
      <c r="AC69" s="959">
        <f t="shared" si="16"/>
        <v>0</v>
      </c>
      <c r="AE69" s="959">
        <f t="shared" si="16"/>
        <v>0</v>
      </c>
      <c r="AG69" s="959">
        <f t="shared" si="16"/>
        <v>0</v>
      </c>
    </row>
    <row r="70" spans="1:34" s="951" customFormat="1">
      <c r="A70" s="953" t="s">
        <v>851</v>
      </c>
      <c r="C70" s="961"/>
      <c r="E70" s="951">
        <f>SUM(E66:E69)</f>
        <v>103490.20000000019</v>
      </c>
      <c r="G70" s="951">
        <f>SUM(G66:G69)</f>
        <v>122958.22249999992</v>
      </c>
      <c r="I70" s="951">
        <f>SUM(I66:I69)</f>
        <v>142806.10516250005</v>
      </c>
      <c r="K70" s="951">
        <f>SUM(K66:K69)</f>
        <v>163039.01607106224</v>
      </c>
      <c r="M70" s="951">
        <f>SUM(M66:M69)</f>
        <v>183662.08923649121</v>
      </c>
      <c r="O70" s="951">
        <f>SUM(O66:O69)</f>
        <v>204680.41779479114</v>
      </c>
      <c r="Q70" s="951">
        <f>SUM(Q66:Q69)</f>
        <v>226099.04682210449</v>
      </c>
      <c r="S70" s="951">
        <f>SUM(S66:S69)</f>
        <v>247922.96574950611</v>
      </c>
      <c r="U70" s="951">
        <f>SUM(U66:U69)</f>
        <v>270157.10035983176</v>
      </c>
      <c r="W70" s="951">
        <f>SUM(W66:W69)</f>
        <v>292806.30434801127</v>
      </c>
      <c r="Y70" s="951">
        <f>SUM(Y66:Y69)</f>
        <v>315875.35042560712</v>
      </c>
      <c r="AA70" s="951">
        <f>SUM(AA66:AA69)</f>
        <v>339368.92094950238</v>
      </c>
      <c r="AC70" s="951">
        <f>SUM(AC66:AC69)</f>
        <v>363291.59805386793</v>
      </c>
      <c r="AE70" s="951">
        <f>SUM(AE66:AE69)</f>
        <v>387647.8532636856</v>
      </c>
      <c r="AG70" s="951">
        <f>SUM(AG66:AG69)</f>
        <v>412442.03656726651</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2703" t="s">
        <v>1707</v>
      </c>
      <c r="B77" s="2704"/>
      <c r="C77" s="2704"/>
      <c r="D77" s="2704"/>
      <c r="E77" s="2704"/>
      <c r="F77" s="2704"/>
      <c r="G77" s="2704"/>
      <c r="H77" s="2704"/>
      <c r="I77" s="2704"/>
      <c r="J77" s="2704"/>
      <c r="K77" s="2704"/>
      <c r="L77" s="2704"/>
      <c r="M77" s="2704"/>
      <c r="N77" s="2704"/>
      <c r="O77" s="2704"/>
      <c r="P77" s="2704"/>
      <c r="Q77" s="2704"/>
      <c r="R77" s="2704"/>
      <c r="S77" s="2704"/>
      <c r="T77" s="2704"/>
      <c r="U77" s="2704"/>
      <c r="V77" s="2704"/>
      <c r="W77" s="2704"/>
      <c r="X77" s="2704"/>
      <c r="Y77" s="2704"/>
      <c r="Z77" s="2704"/>
      <c r="AA77" s="2704"/>
      <c r="AB77" s="2704"/>
      <c r="AC77" s="2704"/>
      <c r="AD77" s="2704"/>
      <c r="AE77" s="2704"/>
      <c r="AF77" s="2704"/>
      <c r="AG77" s="270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topLeftCell="A9" workbookViewId="0">
      <selection sqref="A1:XFD1048576"/>
    </sheetView>
  </sheetViews>
  <sheetFormatPr defaultColWidth="0" defaultRowHeight="13.2" zeroHeight="1"/>
  <cols>
    <col min="1" max="1" width="161.6640625" style="3" customWidth="1"/>
    <col min="2" max="16384" width="8.88671875" style="3" hidden="1"/>
  </cols>
  <sheetData>
    <row r="1" spans="1:1" ht="45">
      <c r="A1" s="1283" t="s">
        <v>969</v>
      </c>
    </row>
    <row r="2" spans="1:1" ht="15">
      <c r="A2" s="1284"/>
    </row>
    <row r="3" spans="1:1" ht="15">
      <c r="A3" s="1285" t="s">
        <v>964</v>
      </c>
    </row>
    <row r="4" spans="1:1" ht="15">
      <c r="A4" s="1285" t="s">
        <v>965</v>
      </c>
    </row>
    <row r="5" spans="1:1" ht="15">
      <c r="A5" s="1285" t="s">
        <v>966</v>
      </c>
    </row>
    <row r="6" spans="1:1" ht="15">
      <c r="A6" s="1285" t="s">
        <v>968</v>
      </c>
    </row>
    <row r="7" spans="1:1" ht="15">
      <c r="A7" s="1285" t="s">
        <v>967</v>
      </c>
    </row>
    <row r="8" spans="1:1" ht="15">
      <c r="A8" s="16" t="s">
        <v>1022</v>
      </c>
    </row>
    <row r="9" spans="1:1" ht="15">
      <c r="A9" s="1285"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election activeCell="E20" sqref="E20"/>
    </sheetView>
  </sheetViews>
  <sheetFormatPr defaultColWidth="9.109375" defaultRowHeight="13.2" zeroHeight="1"/>
  <cols>
    <col min="1" max="1" width="35.6640625" style="204" customWidth="1"/>
    <col min="2" max="4" width="14.6640625" style="204" customWidth="1"/>
    <col min="5" max="5" width="50.6640625" style="204" customWidth="1"/>
    <col min="6" max="253" width="9.109375" style="204" customWidth="1"/>
    <col min="254" max="16384" width="9.109375" style="204"/>
  </cols>
  <sheetData>
    <row r="1" spans="1:6" s="275" customFormat="1" ht="18" customHeight="1">
      <c r="A1" s="509" t="s">
        <v>1214</v>
      </c>
      <c r="D1" s="280"/>
    </row>
    <row r="2" spans="1:6" s="275" customFormat="1">
      <c r="A2" s="259" t="s">
        <v>887</v>
      </c>
      <c r="B2" s="261"/>
      <c r="C2" s="261"/>
      <c r="D2" s="258"/>
      <c r="E2" s="262"/>
      <c r="F2" s="261"/>
    </row>
    <row r="3" spans="1:6" s="347" customFormat="1" ht="80.25" customHeight="1">
      <c r="A3" s="277"/>
      <c r="B3" s="263" t="s">
        <v>888</v>
      </c>
      <c r="C3" s="263" t="s">
        <v>889</v>
      </c>
      <c r="D3" s="263" t="s">
        <v>890</v>
      </c>
      <c r="E3" s="260" t="s">
        <v>891</v>
      </c>
      <c r="F3" s="260"/>
    </row>
    <row r="4" spans="1:6" s="348" customFormat="1">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591</v>
      </c>
      <c r="B9" s="270">
        <f>SUM(B5:B8)</f>
        <v>0</v>
      </c>
      <c r="C9" s="270">
        <f>SUM(C5:C8)</f>
        <v>0</v>
      </c>
      <c r="D9" s="270">
        <f t="shared" si="0"/>
        <v>0</v>
      </c>
      <c r="E9" s="268"/>
      <c r="F9" s="267"/>
    </row>
    <row r="10" spans="1:6" s="348" customFormat="1">
      <c r="A10" s="360" t="s">
        <v>592</v>
      </c>
      <c r="B10" s="266">
        <f>'Sources and Uses Budget'!$C9</f>
        <v>0</v>
      </c>
      <c r="C10" s="266">
        <f>'Sources and Uses Budget'!$C9</f>
        <v>0</v>
      </c>
      <c r="D10" s="270">
        <f t="shared" si="0"/>
        <v>0</v>
      </c>
      <c r="E10" s="268"/>
      <c r="F10" s="267"/>
    </row>
    <row r="11" spans="1:6" s="348" customFormat="1">
      <c r="A11" s="360" t="s">
        <v>593</v>
      </c>
      <c r="B11" s="266">
        <f>'Sources and Uses Budget'!$C10</f>
        <v>500000</v>
      </c>
      <c r="C11" s="266">
        <f>'Sources and Uses Budget'!$C10</f>
        <v>500000</v>
      </c>
      <c r="D11" s="270">
        <f t="shared" si="0"/>
        <v>0</v>
      </c>
      <c r="E11" s="268"/>
      <c r="F11" s="267"/>
    </row>
    <row r="12" spans="1:6" s="348" customFormat="1">
      <c r="A12" s="361" t="s">
        <v>594</v>
      </c>
      <c r="B12" s="270">
        <f>SUM(B10:B11)</f>
        <v>500000</v>
      </c>
      <c r="C12" s="270">
        <f>SUM(C10:C11)</f>
        <v>500000</v>
      </c>
      <c r="D12" s="270">
        <f t="shared" si="0"/>
        <v>0</v>
      </c>
      <c r="E12" s="268"/>
      <c r="F12" s="267"/>
    </row>
    <row r="13" spans="1:6" s="348" customFormat="1">
      <c r="A13" s="361" t="s">
        <v>84</v>
      </c>
      <c r="B13" s="270">
        <f>SUM(B9+B12)</f>
        <v>500000</v>
      </c>
      <c r="C13" s="270">
        <f>SUM(C9+C12)</f>
        <v>500000</v>
      </c>
      <c r="D13" s="270">
        <f t="shared" si="0"/>
        <v>0</v>
      </c>
      <c r="E13" s="268"/>
      <c r="F13" s="267"/>
    </row>
    <row r="14" spans="1:6" s="348" customFormat="1">
      <c r="A14" s="362" t="s">
        <v>900</v>
      </c>
      <c r="B14" s="266">
        <f>'Sources and Uses Budget'!$C13</f>
        <v>0</v>
      </c>
      <c r="C14" s="266">
        <f>'Sources and Uses Budget'!$C13</f>
        <v>0</v>
      </c>
      <c r="D14" s="270">
        <f t="shared" si="0"/>
        <v>0</v>
      </c>
      <c r="E14" s="268"/>
      <c r="F14" s="267"/>
    </row>
    <row r="15" spans="1:6" s="348" customFormat="1" ht="22.8">
      <c r="A15" s="360" t="s">
        <v>901</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c r="A17" s="264" t="s">
        <v>595</v>
      </c>
      <c r="B17" s="264"/>
      <c r="C17" s="264"/>
      <c r="D17" s="264"/>
      <c r="E17" s="282"/>
      <c r="F17" s="264"/>
    </row>
    <row r="18" spans="1:6" s="348" customFormat="1">
      <c r="A18" s="145" t="s">
        <v>596</v>
      </c>
      <c r="B18" s="266">
        <f>'Sources and Uses Budget'!$C17</f>
        <v>0</v>
      </c>
      <c r="C18" s="266">
        <f>'Sources and Uses Budget'!$C17</f>
        <v>0</v>
      </c>
      <c r="D18" s="270">
        <f t="shared" si="0"/>
        <v>0</v>
      </c>
      <c r="E18" s="268"/>
      <c r="F18" s="267"/>
    </row>
    <row r="19" spans="1:6" s="348" customFormat="1">
      <c r="A19" s="145" t="s">
        <v>597</v>
      </c>
      <c r="B19" s="266">
        <f>'Sources and Uses Budget'!$C18</f>
        <v>0</v>
      </c>
      <c r="C19" s="266">
        <f>'Sources and Uses Budget'!$C18</f>
        <v>0</v>
      </c>
      <c r="D19" s="270">
        <f t="shared" si="0"/>
        <v>0</v>
      </c>
      <c r="E19" s="268"/>
      <c r="F19" s="267"/>
    </row>
    <row r="20" spans="1:6" s="348" customFormat="1">
      <c r="A20" s="145" t="s">
        <v>598</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f>'Sources and Uses Budget'!A25</f>
        <v>0</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596</v>
      </c>
      <c r="B30" s="266">
        <f>'Sources and Uses Budget'!$C29</f>
        <v>1000000</v>
      </c>
      <c r="C30" s="266">
        <f>'Sources and Uses Budget'!$C29</f>
        <v>1000000</v>
      </c>
      <c r="D30" s="270">
        <f t="shared" si="0"/>
        <v>0</v>
      </c>
      <c r="E30" s="268"/>
      <c r="F30" s="267"/>
    </row>
    <row r="31" spans="1:6" s="348" customFormat="1">
      <c r="A31" s="145" t="s">
        <v>597</v>
      </c>
      <c r="B31" s="266">
        <f>'Sources and Uses Budget'!$C30</f>
        <v>40210092</v>
      </c>
      <c r="C31" s="266">
        <f>'Sources and Uses Budget'!$C30</f>
        <v>40210092</v>
      </c>
      <c r="D31" s="270">
        <f t="shared" si="0"/>
        <v>0</v>
      </c>
      <c r="E31" s="268"/>
      <c r="F31" s="267"/>
    </row>
    <row r="32" spans="1:6" s="348" customFormat="1">
      <c r="A32" s="145" t="s">
        <v>598</v>
      </c>
      <c r="B32" s="266">
        <f>'Sources and Uses Budget'!$C31</f>
        <v>2502606</v>
      </c>
      <c r="C32" s="266">
        <f>'Sources and Uses Budget'!$C31</f>
        <v>2502606</v>
      </c>
      <c r="D32" s="270">
        <f t="shared" si="0"/>
        <v>0</v>
      </c>
      <c r="E32" s="268"/>
      <c r="F32" s="267"/>
    </row>
    <row r="33" spans="1:6" s="348" customFormat="1">
      <c r="A33" s="145" t="s">
        <v>137</v>
      </c>
      <c r="B33" s="266">
        <f>'Sources and Uses Budget'!$C32</f>
        <v>1668404</v>
      </c>
      <c r="C33" s="266">
        <f>'Sources and Uses Budget'!$C32</f>
        <v>1668404</v>
      </c>
      <c r="D33" s="270">
        <f t="shared" si="0"/>
        <v>0</v>
      </c>
      <c r="E33" s="268"/>
      <c r="F33" s="267"/>
    </row>
    <row r="34" spans="1:6" s="348" customFormat="1">
      <c r="A34" s="145" t="s">
        <v>138</v>
      </c>
      <c r="B34" s="266">
        <f>'Sources and Uses Budget'!$C33</f>
        <v>1668404</v>
      </c>
      <c r="C34" s="266">
        <f>'Sources and Uses Budget'!$C33</f>
        <v>1668404</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475495</v>
      </c>
      <c r="C36" s="266">
        <f>'Sources and Uses Budget'!$C35</f>
        <v>475495</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47525001</v>
      </c>
      <c r="C39" s="270">
        <f>SUM(C30:C38)</f>
        <v>47525001</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1200000</v>
      </c>
      <c r="C41" s="266">
        <f>'Sources and Uses Budget'!$C40</f>
        <v>1200000</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1200000</v>
      </c>
      <c r="C43" s="270">
        <f>SUM(C41:C42)</f>
        <v>1200000</v>
      </c>
      <c r="D43" s="270">
        <f t="shared" si="0"/>
        <v>0</v>
      </c>
      <c r="E43" s="268"/>
      <c r="F43" s="267"/>
    </row>
    <row r="44" spans="1:6" s="348" customFormat="1">
      <c r="A44" s="271" t="s">
        <v>148</v>
      </c>
      <c r="B44" s="266">
        <f>'Sources and Uses Budget'!$C43</f>
        <v>650000</v>
      </c>
      <c r="C44" s="266">
        <f>'Sources and Uses Budget'!$C43</f>
        <v>650000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3692240</v>
      </c>
      <c r="C46" s="266">
        <f>'Sources and Uses Budget'!$C45</f>
        <v>3692240</v>
      </c>
      <c r="D46" s="270">
        <f t="shared" si="0"/>
        <v>0</v>
      </c>
      <c r="E46" s="268"/>
      <c r="F46" s="267"/>
    </row>
    <row r="47" spans="1:6" s="348" customFormat="1">
      <c r="A47" s="145" t="s">
        <v>151</v>
      </c>
      <c r="B47" s="266">
        <f>'Sources and Uses Budget'!$C46</f>
        <v>338722</v>
      </c>
      <c r="C47" s="266">
        <f>'Sources and Uses Budget'!$C46</f>
        <v>338722</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75398</v>
      </c>
      <c r="C50" s="266">
        <f>'Sources and Uses Budget'!$C49</f>
        <v>75398</v>
      </c>
      <c r="D50" s="270">
        <f t="shared" si="0"/>
        <v>0</v>
      </c>
      <c r="E50" s="268"/>
      <c r="F50" s="267"/>
    </row>
    <row r="51" spans="1:6" s="348" customFormat="1">
      <c r="A51" s="145" t="s">
        <v>156</v>
      </c>
      <c r="B51" s="266">
        <f>'Sources and Uses Budget'!$C50</f>
        <v>100000</v>
      </c>
      <c r="C51" s="266">
        <f>'Sources and Uses Budget'!$C50</f>
        <v>100000</v>
      </c>
      <c r="D51" s="270">
        <f t="shared" si="0"/>
        <v>0</v>
      </c>
      <c r="E51" s="268"/>
      <c r="F51" s="267"/>
    </row>
    <row r="52" spans="1:6" s="348" customFormat="1">
      <c r="A52" s="283" t="s">
        <v>154</v>
      </c>
      <c r="B52" s="266">
        <f>'Sources and Uses Budget'!$C51</f>
        <v>120000</v>
      </c>
      <c r="C52" s="266">
        <f>'Sources and Uses Budget'!$C51</f>
        <v>120000</v>
      </c>
      <c r="D52" s="270">
        <f t="shared" si="0"/>
        <v>0</v>
      </c>
      <c r="E52" s="268"/>
      <c r="F52" s="267"/>
    </row>
    <row r="53" spans="1:6" s="348" customFormat="1">
      <c r="A53" s="145" t="s">
        <v>155</v>
      </c>
      <c r="B53" s="266">
        <f>'Sources and Uses Budget'!$C52</f>
        <v>480000</v>
      </c>
      <c r="C53" s="266">
        <f>'Sources and Uses Budget'!$C52</f>
        <v>480000</v>
      </c>
      <c r="D53" s="270">
        <f t="shared" si="0"/>
        <v>0</v>
      </c>
      <c r="E53" s="268"/>
      <c r="F53" s="267"/>
    </row>
    <row r="54" spans="1:6" s="348" customFormat="1" ht="57">
      <c r="A54" s="155" t="str">
        <f>'Sources and Uses Budget'!A53</f>
        <v>Construction Monitoring+B-Bond Interest During Construction+Bond Holder Interest TE+Bond Holder Interest Taxable+Bond Underwriter/Investment Banking Fee+Other Bond Fees</v>
      </c>
      <c r="B54" s="266">
        <f>'Sources and Uses Budget'!$C53</f>
        <v>4919751</v>
      </c>
      <c r="C54" s="266">
        <f>'Sources and Uses Budget'!$C53</f>
        <v>4919751</v>
      </c>
      <c r="D54" s="270">
        <f t="shared" si="0"/>
        <v>0</v>
      </c>
      <c r="E54" s="268"/>
      <c r="F54" s="267"/>
    </row>
    <row r="55" spans="1:6" s="349" customFormat="1">
      <c r="A55" s="271" t="s">
        <v>157</v>
      </c>
      <c r="B55" s="273">
        <f>SUM(B46:B54)</f>
        <v>9726111</v>
      </c>
      <c r="C55" s="273">
        <f>SUM(C46:C54)</f>
        <v>9726111</v>
      </c>
      <c r="D55" s="270">
        <f t="shared" si="0"/>
        <v>0</v>
      </c>
      <c r="E55" s="268"/>
      <c r="F55" s="267"/>
    </row>
    <row r="56" spans="1:6" s="348" customFormat="1">
      <c r="A56" s="264" t="s">
        <v>417</v>
      </c>
      <c r="B56" s="264"/>
      <c r="C56" s="264"/>
      <c r="D56" s="264"/>
      <c r="E56" s="282"/>
      <c r="F56" s="264"/>
    </row>
    <row r="57" spans="1:6" s="348" customFormat="1">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Leagl for Perm Loan+B-Bond Underwriter</v>
      </c>
      <c r="B62" s="266">
        <f>'Sources and Uses Budget'!$C61</f>
        <v>65000</v>
      </c>
      <c r="C62" s="266">
        <f>'Sources and Uses Budget'!$C61</f>
        <v>65000</v>
      </c>
      <c r="D62" s="270">
        <f t="shared" si="0"/>
        <v>0</v>
      </c>
      <c r="E62" s="268"/>
      <c r="F62" s="267"/>
    </row>
    <row r="63" spans="1:6" s="348" customFormat="1" ht="13.65" customHeight="1">
      <c r="A63" s="271" t="s">
        <v>301</v>
      </c>
      <c r="B63" s="270">
        <f>SUM(B57:B62)</f>
        <v>75000</v>
      </c>
      <c r="C63" s="270">
        <f>SUM(C57:C62)</f>
        <v>75000</v>
      </c>
      <c r="D63" s="270">
        <f t="shared" si="0"/>
        <v>0</v>
      </c>
      <c r="E63" s="268"/>
      <c r="F63" s="267"/>
    </row>
    <row r="64" spans="1:6" s="348" customFormat="1">
      <c r="A64" s="274" t="s">
        <v>302</v>
      </c>
      <c r="B64" s="270">
        <f>SUM(B9+B12+B14+B15+B17+B26+B28+B39+B43+B44+B55+B63)</f>
        <v>59676112</v>
      </c>
      <c r="C64" s="270">
        <f>SUM(C9+C12+C14+C15+C17+C26+C28+C39+C43+C44+C55+C63)</f>
        <v>59676112</v>
      </c>
      <c r="D64" s="270">
        <f t="shared" si="0"/>
        <v>0</v>
      </c>
      <c r="E64" s="268"/>
      <c r="F64" s="267"/>
    </row>
    <row r="65" spans="1:6" s="348" customFormat="1" ht="22.8">
      <c r="A65" s="141" t="s">
        <v>1630</v>
      </c>
      <c r="B65" s="264"/>
      <c r="C65" s="264"/>
      <c r="D65" s="264"/>
      <c r="E65" s="282"/>
      <c r="F65" s="264"/>
    </row>
    <row r="66" spans="1:6" s="348" customFormat="1">
      <c r="A66" s="145" t="s">
        <v>171</v>
      </c>
      <c r="B66" s="266">
        <f>'Sources and Uses Budget'!$C65</f>
        <v>100000</v>
      </c>
      <c r="C66" s="266">
        <f>'Sources and Uses Budget'!$C65</f>
        <v>100000</v>
      </c>
      <c r="D66" s="270">
        <f t="shared" si="0"/>
        <v>0</v>
      </c>
      <c r="E66" s="268"/>
      <c r="F66" s="267"/>
    </row>
    <row r="67" spans="1:6" s="348" customFormat="1" ht="22.8">
      <c r="A67" s="283" t="s">
        <v>1627</v>
      </c>
      <c r="B67" s="266">
        <f>'Sources and Uses Budget'!$C66</f>
        <v>0</v>
      </c>
      <c r="C67" s="266">
        <f>'Sources and Uses Budget'!$C66</f>
        <v>0</v>
      </c>
      <c r="D67" s="270"/>
      <c r="E67" s="268"/>
      <c r="F67" s="267"/>
    </row>
    <row r="68" spans="1:6" s="348" customFormat="1" ht="22.8">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Lender Legal+Safehold</v>
      </c>
      <c r="B70" s="266">
        <f>'Sources and Uses Budget'!$C69</f>
        <v>350000</v>
      </c>
      <c r="C70" s="266">
        <f>'Sources and Uses Budget'!$C69</f>
        <v>350000</v>
      </c>
      <c r="D70" s="270">
        <f t="shared" si="0"/>
        <v>0</v>
      </c>
      <c r="E70" s="268"/>
      <c r="F70" s="267"/>
    </row>
    <row r="71" spans="1:6" s="348" customFormat="1">
      <c r="A71" s="149" t="s">
        <v>1631</v>
      </c>
      <c r="B71" s="270">
        <f>SUM(B66:B70)</f>
        <v>450000</v>
      </c>
      <c r="C71" s="270">
        <f>SUM(C66:C70)</f>
        <v>450000</v>
      </c>
      <c r="D71" s="270">
        <f t="shared" si="0"/>
        <v>0</v>
      </c>
      <c r="E71" s="268"/>
      <c r="F71" s="267"/>
    </row>
    <row r="72" spans="1:6" s="348" customFormat="1">
      <c r="A72" s="264" t="s">
        <v>600</v>
      </c>
      <c r="B72" s="264"/>
      <c r="C72" s="264"/>
      <c r="D72" s="264"/>
      <c r="E72" s="282"/>
      <c r="F72" s="264"/>
    </row>
    <row r="73" spans="1:6" s="348" customFormat="1">
      <c r="A73" s="269" t="s">
        <v>601</v>
      </c>
      <c r="B73" s="266">
        <f>'Sources and Uses Budget'!$C72</f>
        <v>0</v>
      </c>
      <c r="C73" s="266">
        <f>'Sources and Uses Budget'!$C72</f>
        <v>0</v>
      </c>
      <c r="D73" s="270">
        <f t="shared" si="0"/>
        <v>0</v>
      </c>
      <c r="E73" s="268"/>
      <c r="F73" s="267"/>
    </row>
    <row r="74" spans="1:6" s="348" customFormat="1">
      <c r="A74" s="269" t="s">
        <v>602</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603</v>
      </c>
      <c r="B76" s="266">
        <f>'Sources and Uses Budget'!$C75</f>
        <v>782824</v>
      </c>
      <c r="C76" s="266">
        <f>'Sources and Uses Budget'!$C75</f>
        <v>782824</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604</v>
      </c>
      <c r="B78" s="270">
        <f>SUM(B73:B77)</f>
        <v>782824</v>
      </c>
      <c r="C78" s="270">
        <f>SUM(C73:C77)</f>
        <v>782824</v>
      </c>
      <c r="D78" s="270">
        <f t="shared" ref="D78:D106" si="1">C78-B78</f>
        <v>0</v>
      </c>
      <c r="E78" s="268"/>
      <c r="F78" s="267"/>
    </row>
    <row r="79" spans="1:6" s="348" customFormat="1">
      <c r="A79" s="264" t="s">
        <v>1207</v>
      </c>
      <c r="B79" s="264"/>
      <c r="C79" s="264"/>
      <c r="D79" s="264"/>
      <c r="E79" s="282"/>
      <c r="F79" s="264"/>
    </row>
    <row r="80" spans="1:6" s="348" customFormat="1">
      <c r="A80" s="506" t="s">
        <v>1209</v>
      </c>
      <c r="B80" s="266">
        <f>'Sources and Uses Budget'!$C79</f>
        <v>2401250</v>
      </c>
      <c r="C80" s="266">
        <f>'Sources and Uses Budget'!$C79</f>
        <v>2401250</v>
      </c>
      <c r="D80" s="270">
        <f t="shared" si="1"/>
        <v>0</v>
      </c>
      <c r="E80" s="268"/>
      <c r="F80" s="267"/>
    </row>
    <row r="81" spans="1:6" s="348" customFormat="1">
      <c r="A81" s="506" t="s">
        <v>58</v>
      </c>
      <c r="B81" s="266">
        <f>'Sources and Uses Budget'!$C80</f>
        <v>812455</v>
      </c>
      <c r="C81" s="266">
        <f>'Sources and Uses Budget'!$C80</f>
        <v>812455</v>
      </c>
      <c r="D81" s="270">
        <f>C81-B81</f>
        <v>0</v>
      </c>
      <c r="E81" s="268"/>
      <c r="F81" s="267"/>
    </row>
    <row r="82" spans="1:6" s="348" customFormat="1">
      <c r="A82" s="271" t="s">
        <v>1206</v>
      </c>
      <c r="B82" s="270">
        <f>SUM(B80:B81)</f>
        <v>3213705</v>
      </c>
      <c r="C82" s="270">
        <f>SUM(C80:C81)</f>
        <v>3213705</v>
      </c>
      <c r="D82" s="270">
        <f t="shared" si="1"/>
        <v>0</v>
      </c>
      <c r="E82" s="268"/>
      <c r="F82" s="267"/>
    </row>
    <row r="83" spans="1:6" s="348" customFormat="1">
      <c r="A83" s="264" t="s">
        <v>763</v>
      </c>
      <c r="B83" s="264"/>
      <c r="C83" s="264"/>
      <c r="D83" s="264"/>
      <c r="E83" s="282"/>
      <c r="F83" s="264"/>
    </row>
    <row r="84" spans="1:6" s="348" customFormat="1" ht="13.65" customHeight="1">
      <c r="A84" s="269" t="s">
        <v>764</v>
      </c>
      <c r="B84" s="266">
        <f>'Sources and Uses Budget'!$C83</f>
        <v>120352</v>
      </c>
      <c r="C84" s="266">
        <f>'Sources and Uses Budget'!$C83</f>
        <v>120352</v>
      </c>
      <c r="D84" s="270">
        <f t="shared" si="1"/>
        <v>0</v>
      </c>
      <c r="E84" s="268"/>
      <c r="F84" s="267"/>
    </row>
    <row r="85" spans="1:6" s="348" customFormat="1">
      <c r="A85" s="269" t="s">
        <v>765</v>
      </c>
      <c r="B85" s="266">
        <f>'Sources and Uses Budget'!$C84</f>
        <v>50000</v>
      </c>
      <c r="C85" s="266">
        <f>'Sources and Uses Budget'!$C84</f>
        <v>50000</v>
      </c>
      <c r="D85" s="270">
        <f t="shared" si="1"/>
        <v>0</v>
      </c>
      <c r="E85" s="268"/>
      <c r="F85" s="267"/>
    </row>
    <row r="86" spans="1:6" s="348" customFormat="1">
      <c r="A86" s="269" t="s">
        <v>766</v>
      </c>
      <c r="B86" s="266">
        <f>'Sources and Uses Budget'!$C85</f>
        <v>3263654</v>
      </c>
      <c r="C86" s="266">
        <f>'Sources and Uses Budget'!$C85</f>
        <v>3263654</v>
      </c>
      <c r="D86" s="270">
        <f t="shared" si="1"/>
        <v>0</v>
      </c>
      <c r="E86" s="268"/>
      <c r="F86" s="267"/>
    </row>
    <row r="87" spans="1:6" s="348" customFormat="1">
      <c r="A87" s="269" t="s">
        <v>767</v>
      </c>
      <c r="B87" s="266">
        <f>'Sources and Uses Budget'!$C86</f>
        <v>691346</v>
      </c>
      <c r="C87" s="266">
        <f>'Sources and Uses Budget'!$C86</f>
        <v>691346</v>
      </c>
      <c r="D87" s="270">
        <f t="shared" si="1"/>
        <v>0</v>
      </c>
      <c r="E87" s="268"/>
      <c r="F87" s="267"/>
    </row>
    <row r="88" spans="1:6" s="348" customFormat="1">
      <c r="A88" s="269" t="s">
        <v>768</v>
      </c>
      <c r="B88" s="266">
        <f>'Sources and Uses Budget'!$C87</f>
        <v>0</v>
      </c>
      <c r="C88" s="266">
        <f>'Sources and Uses Budget'!$C87</f>
        <v>0</v>
      </c>
      <c r="D88" s="270">
        <f t="shared" si="1"/>
        <v>0</v>
      </c>
      <c r="E88" s="268"/>
      <c r="F88" s="267"/>
    </row>
    <row r="89" spans="1:6" s="348" customFormat="1">
      <c r="A89" s="269" t="s">
        <v>769</v>
      </c>
      <c r="B89" s="266">
        <f>'Sources and Uses Budget'!$C88</f>
        <v>150000</v>
      </c>
      <c r="C89" s="266">
        <f>'Sources and Uses Budget'!$C88</f>
        <v>150000</v>
      </c>
      <c r="D89" s="270">
        <f t="shared" si="1"/>
        <v>0</v>
      </c>
      <c r="E89" s="268"/>
      <c r="F89" s="267"/>
    </row>
    <row r="90" spans="1:6" s="348" customFormat="1">
      <c r="A90" s="269" t="s">
        <v>770</v>
      </c>
      <c r="B90" s="266">
        <f>'Sources and Uses Budget'!$C89</f>
        <v>150000</v>
      </c>
      <c r="C90" s="266">
        <f>'Sources and Uses Budget'!$C89</f>
        <v>150000</v>
      </c>
      <c r="D90" s="270">
        <f t="shared" si="1"/>
        <v>0</v>
      </c>
      <c r="E90" s="268"/>
      <c r="F90" s="267"/>
    </row>
    <row r="91" spans="1:6" s="348" customFormat="1">
      <c r="A91" s="269" t="s">
        <v>771</v>
      </c>
      <c r="B91" s="266">
        <f>'Sources and Uses Budget'!$C90</f>
        <v>15000</v>
      </c>
      <c r="C91" s="266">
        <f>'Sources and Uses Budget'!$C90</f>
        <v>15000</v>
      </c>
      <c r="D91" s="270">
        <f t="shared" si="1"/>
        <v>0</v>
      </c>
      <c r="E91" s="268"/>
      <c r="F91" s="267"/>
    </row>
    <row r="92" spans="1:6" s="348" customFormat="1">
      <c r="A92" s="269" t="s">
        <v>371</v>
      </c>
      <c r="B92" s="266">
        <f>'Sources and Uses Budget'!$C91</f>
        <v>50000</v>
      </c>
      <c r="C92" s="266">
        <f>'Sources and Uses Budget'!$C91</f>
        <v>50000</v>
      </c>
      <c r="D92" s="270">
        <f t="shared" si="1"/>
        <v>0</v>
      </c>
      <c r="E92" s="268"/>
      <c r="F92" s="267"/>
    </row>
    <row r="93" spans="1:6" s="348" customFormat="1">
      <c r="A93" s="506" t="s">
        <v>1208</v>
      </c>
      <c r="B93" s="266">
        <f>'Sources and Uses Budget'!$C92</f>
        <v>20000</v>
      </c>
      <c r="C93" s="266">
        <f>'Sources and Uses Budget'!$C92</f>
        <v>20000</v>
      </c>
      <c r="D93" s="270">
        <f t="shared" si="1"/>
        <v>0</v>
      </c>
      <c r="E93" s="268"/>
      <c r="F93" s="267"/>
    </row>
    <row r="94" spans="1:6" s="348" customFormat="1">
      <c r="A94" s="272" t="s">
        <v>34</v>
      </c>
      <c r="B94" s="266">
        <f>'Sources and Uses Budget'!$C93</f>
        <v>13395</v>
      </c>
      <c r="C94" s="266">
        <f>'Sources and Uses Budget'!$C93</f>
        <v>13395</v>
      </c>
      <c r="D94" s="270">
        <f t="shared" si="1"/>
        <v>0</v>
      </c>
      <c r="E94" s="268"/>
      <c r="F94" s="267"/>
    </row>
    <row r="95" spans="1:6" s="348" customFormat="1">
      <c r="A95" s="272" t="s">
        <v>34</v>
      </c>
      <c r="B95" s="266">
        <f>'Sources and Uses Budget'!$C94</f>
        <v>500000</v>
      </c>
      <c r="C95" s="266">
        <f>'Sources and Uses Budget'!$C94</f>
        <v>500000</v>
      </c>
      <c r="D95" s="270">
        <f t="shared" si="1"/>
        <v>0</v>
      </c>
      <c r="E95" s="268"/>
      <c r="F95" s="267"/>
    </row>
    <row r="96" spans="1:6" s="348" customFormat="1">
      <c r="A96" s="272" t="s">
        <v>34</v>
      </c>
      <c r="B96" s="266">
        <f>'Sources and Uses Budget'!$C95</f>
        <v>750000</v>
      </c>
      <c r="C96" s="266">
        <f>'Sources and Uses Budget'!$C95</f>
        <v>750000</v>
      </c>
      <c r="D96" s="270">
        <f t="shared" si="1"/>
        <v>0</v>
      </c>
      <c r="E96" s="268"/>
      <c r="F96" s="267"/>
    </row>
    <row r="97" spans="1:6" s="348" customFormat="1">
      <c r="A97" s="271" t="s">
        <v>772</v>
      </c>
      <c r="B97" s="270">
        <f>SUM(B84:B96)</f>
        <v>5773747</v>
      </c>
      <c r="C97" s="270">
        <f>SUM(C84:C96)</f>
        <v>5773747</v>
      </c>
      <c r="D97" s="270">
        <f t="shared" si="1"/>
        <v>0</v>
      </c>
      <c r="E97" s="268"/>
      <c r="F97" s="267"/>
    </row>
    <row r="98" spans="1:6" s="348" customFormat="1">
      <c r="A98" s="271" t="s">
        <v>773</v>
      </c>
      <c r="B98" s="270">
        <f>SUM(B64+B71+B78+B82+B97)</f>
        <v>69896388</v>
      </c>
      <c r="C98" s="270">
        <f>SUM(C64+C71+C78+C82+C97)</f>
        <v>69896388</v>
      </c>
      <c r="D98" s="270">
        <f t="shared" si="1"/>
        <v>0</v>
      </c>
      <c r="E98" s="268"/>
      <c r="F98" s="267"/>
    </row>
    <row r="99" spans="1:6" s="348" customFormat="1">
      <c r="A99" s="264" t="s">
        <v>774</v>
      </c>
      <c r="B99" s="264"/>
      <c r="C99" s="264"/>
      <c r="D99" s="264"/>
      <c r="E99" s="282"/>
      <c r="F99" s="264"/>
    </row>
    <row r="100" spans="1:6" s="348" customFormat="1">
      <c r="A100" s="145" t="s">
        <v>775</v>
      </c>
      <c r="B100" s="266">
        <f>'Sources and Uses Budget'!$C99</f>
        <v>10021516</v>
      </c>
      <c r="C100" s="266">
        <f>'Sources and Uses Budget'!$C99</f>
        <v>10021516</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776</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777</v>
      </c>
      <c r="B105" s="270">
        <f>SUM(B100:B104)</f>
        <v>10021516</v>
      </c>
      <c r="C105" s="270">
        <f>SUM(C100:C104)</f>
        <v>10021516</v>
      </c>
      <c r="D105" s="270">
        <f t="shared" si="1"/>
        <v>0</v>
      </c>
      <c r="E105" s="268"/>
      <c r="F105" s="267"/>
    </row>
    <row r="106" spans="1:6" s="348" customFormat="1">
      <c r="A106" s="271" t="s">
        <v>778</v>
      </c>
      <c r="B106" s="273">
        <f>SUM(B98+B105)</f>
        <v>79917904</v>
      </c>
      <c r="C106" s="273">
        <f>SUM(C98+C105)</f>
        <v>79917904</v>
      </c>
      <c r="D106" s="270">
        <f t="shared" si="1"/>
        <v>0</v>
      </c>
      <c r="E106" s="268"/>
      <c r="F106" s="267"/>
    </row>
    <row r="107" spans="1:6" s="348" customFormat="1">
      <c r="A107" s="277" t="s">
        <v>779</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Austin George</cp:lastModifiedBy>
  <cp:lastPrinted>2024-12-09T20:28:29Z</cp:lastPrinted>
  <dcterms:created xsi:type="dcterms:W3CDTF">2007-12-27T18:26:28Z</dcterms:created>
  <dcterms:modified xsi:type="dcterms:W3CDTF">2026-09-07T17:59:41Z</dcterms:modified>
</cp:coreProperties>
</file>